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activeX/activeX10.xml" ContentType="application/vnd.ms-office.activeX+xml"/>
  <Override PartName="/xl/activeX/activeX11.xml" ContentType="application/vnd.ms-office.activeX+xml"/>
  <Override PartName="/xl/printerSettings/printerSettings1.bin" ContentType="application/vnd.openxmlformats-officedocument.spreadsheetml.printerSettings"/>
  <Override PartName="/xl/drawings/drawing2.xml" ContentType="application/vnd.openxmlformats-officedocument.drawing+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drawings/drawing3.xml" ContentType="application/vnd.openxmlformats-officedocument.drawing+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printerSettings/printerSettings2.bin" ContentType="application/vnd.openxmlformats-officedocument.spreadsheetml.printerSettings"/>
  <Override PartName="/xl/drawings/drawing4.xml" ContentType="application/vnd.openxmlformats-officedocument.drawing+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69.xml" ContentType="application/vnd.ms-office.activeX+xml"/>
  <Override PartName="/xl/activeX/activeX70.xml" ContentType="application/vnd.ms-office.activeX+xml"/>
  <Override PartName="/xl/activeX/activeX71.xml" ContentType="application/vnd.ms-office.activeX+xml"/>
  <Override PartName="/xl/activeX/activeX72.xml" ContentType="application/vnd.ms-office.activeX+xml"/>
  <Override PartName="/xl/activeX/activeX73.xml" ContentType="application/vnd.ms-office.activeX+xml"/>
  <Override PartName="/xl/activeX/activeX74.xml" ContentType="application/vnd.ms-office.activeX+xml"/>
  <Override PartName="/xl/activeX/activeX75.xml" ContentType="application/vnd.ms-office.activeX+xml"/>
  <Override PartName="/xl/activeX/activeX76.xml" ContentType="application/vnd.ms-office.activeX+xml"/>
  <Override PartName="/xl/activeX/activeX77.xml" ContentType="application/vnd.ms-office.activeX+xml"/>
  <Override PartName="/xl/activeX/activeX78.xml" ContentType="application/vnd.ms-office.activeX+xml"/>
  <Override PartName="/xl/activeX/activeX79.xml" ContentType="application/vnd.ms-office.activeX+xml"/>
  <Override PartName="/xl/activeX/activeX80.xml" ContentType="application/vnd.ms-office.activeX+xml"/>
  <Override PartName="/xl/activeX/activeX81.xml" ContentType="application/vnd.ms-office.activeX+xml"/>
  <Override PartName="/xl/activeX/activeX82.xml" ContentType="application/vnd.ms-office.activeX+xml"/>
  <Override PartName="/xl/activeX/activeX83.xml" ContentType="application/vnd.ms-office.activeX+xml"/>
  <Override PartName="/xl/printerSettings/printerSettings3.bin" ContentType="application/vnd.openxmlformats-officedocument.spreadsheetml.printerSettings"/>
  <Override PartName="/xl/drawings/drawing5.xml" ContentType="application/vnd.openxmlformats-officedocument.drawing+xml"/>
  <Override PartName="/xl/activeX/activeX84.xml" ContentType="application/vnd.ms-office.activeX+xml"/>
  <Override PartName="/xl/activeX/activeX85.xml" ContentType="application/vnd.ms-office.activeX+xml"/>
  <Override PartName="/xl/printerSettings/printerSettings4.bin" ContentType="application/vnd.openxmlformats-officedocument.spreadsheetml.printerSettings"/>
  <Override PartName="/xl/drawings/drawing6.xml" ContentType="application/vnd.openxmlformats-officedocument.drawing+xml"/>
  <Override PartName="/xl/activeX/activeX86.xml" ContentType="application/vnd.ms-office.activeX+xml"/>
  <Override PartName="/xl/printerSettings/printerSettings5.bin" ContentType="application/vnd.openxmlformats-officedocument.spreadsheetml.printerSettings"/>
  <Override PartName="/xl/drawings/drawing7.xml" ContentType="application/vnd.openxmlformats-officedocument.drawing+xml"/>
  <Override PartName="/xl/activeX/activeX87.xml" ContentType="application/vnd.ms-office.activeX+xml"/>
  <Override PartName="/xl/printerSettings/printerSettings6.bin" ContentType="application/vnd.openxmlformats-officedocument.spreadsheetml.printerSettings"/>
  <Override PartName="/xl/comments1.xml" ContentType="application/vnd.openxmlformats-officedocument.spreadsheetml.comments+xml"/>
  <Override PartName="/xl/printerSettings/printerSettings7.bin" ContentType="application/vnd.openxmlformats-officedocument.spreadsheetml.printerSettings"/>
  <Override PartName="/xl/drawings/drawing8.xml" ContentType="application/vnd.openxmlformats-officedocument.drawing+xml"/>
  <Override PartName="/xl/comments2.xml" ContentType="application/vnd.openxmlformats-officedocument.spreadsheetml.comments+xml"/>
  <Override PartName="/xl/printerSettings/printerSettings8.bin" ContentType="application/vnd.openxmlformats-officedocument.spreadsheetml.printerSettings"/>
  <Override PartName="/xl/comments3.xml" ContentType="application/vnd.openxmlformats-officedocument.spreadsheetml.comments+xml"/>
  <Override PartName="/xl/drawings/drawing9.xml" ContentType="application/vnd.openxmlformats-officedocument.drawing+xml"/>
  <Override PartName="/xl/printerSettings/printerSettings9.bin" ContentType="application/vnd.openxmlformats-officedocument.spreadsheetml.printerSettings"/>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activeX/activeX88.xml" ContentType="application/vnd.ms-office.activeX+xml"/>
  <Override PartName="/xl/charts/chart1.xml" ContentType="application/vnd.openxmlformats-officedocument.drawingml.chart+xml"/>
  <Override PartName="/xl/charts/chart2.xml" ContentType="application/vnd.openxmlformats-officedocument.drawingml.chart+xml"/>
  <Override PartName="/xl/printerSettings/printerSettings10.bin" ContentType="application/vnd.openxmlformats-officedocument.spreadsheetml.printerSettings"/>
  <Override PartName="/xl/drawings/drawing11.xml" ContentType="application/vnd.openxmlformats-officedocument.drawing+xml"/>
  <Override PartName="/xl/activeX/activeX89.xml" ContentType="application/vnd.ms-office.activeX+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codeName="{51196F13-6AD0-C1B8-E2B4-A1F9AE17003E}"/>
  <workbookPr codeName="ThisWorkbook" defaultThemeVersion="124226"/>
  <mc:AlternateContent xmlns:mc="http://schemas.openxmlformats.org/markup-compatibility/2006">
    <mc:Choice Requires="x15">
      <x15ac:absPath xmlns:x15ac="http://schemas.microsoft.com/office/spreadsheetml/2010/11/ac" url="https://ncconnect-my.sharepoint.com/personal/michael_shepherd_ncagr_gov/Documents/Documents/Swine &amp; Dairy Assistance/Website/"/>
    </mc:Choice>
  </mc:AlternateContent>
  <xr:revisionPtr revIDLastSave="0" documentId="8_{CAA5448D-6A1D-4EE1-B306-46E16F86B98F}" xr6:coauthVersionLast="47" xr6:coauthVersionMax="47" xr10:uidLastSave="{00000000-0000-0000-0000-000000000000}"/>
  <bookViews>
    <workbookView xWindow="-28920" yWindow="1365" windowWidth="29040" windowHeight="15840" tabRatio="881" activeTab="5" xr2:uid="{00000000-000D-0000-FFFF-FFFF00000000}"/>
  </bookViews>
  <sheets>
    <sheet name="Main.Page" sheetId="14" r:id="rId1"/>
    <sheet name="Crop.Inut" sheetId="7" r:id="rId2"/>
    <sheet name="Livestock.input" sheetId="17" r:id="rId3"/>
    <sheet name="Watershed.input" sheetId="11" r:id="rId4"/>
    <sheet name="Summary.Sheet" sheetId="15" r:id="rId5"/>
    <sheet name="WSCalcs" sheetId="22" r:id="rId6"/>
    <sheet name="PondSizeCalcs" sheetId="21" r:id="rId7"/>
    <sheet name="AgWRAP_RESULTS" sheetId="23" r:id="rId8"/>
    <sheet name="summary2" sheetId="18" r:id="rId9"/>
    <sheet name="variables" sheetId="8" r:id="rId10"/>
    <sheet name="ppt.county" sheetId="1" r:id="rId11"/>
    <sheet name="ppt.events.5" sheetId="12" r:id="rId12"/>
    <sheet name="ET.county" sheetId="2" r:id="rId13"/>
    <sheet name="ET.region" sheetId="3" r:id="rId14"/>
    <sheet name="input.form.data" sheetId="6" r:id="rId15"/>
    <sheet name="kcs" sheetId="10" r:id="rId16"/>
    <sheet name="water.demand.model" sheetId="9" r:id="rId17"/>
    <sheet name="Sheet4" sheetId="24" r:id="rId18"/>
    <sheet name="runoff.model" sheetId="13" r:id="rId19"/>
    <sheet name="Plot" sheetId="16" r:id="rId20"/>
    <sheet name="inverse.design" sheetId="20" r:id="rId21"/>
    <sheet name="version.notes" sheetId="19" r:id="rId22"/>
  </sheets>
  <externalReferences>
    <externalReference r:id="rId23"/>
  </externalReferences>
  <definedNames>
    <definedName name="Acres1">variables!$C$18</definedName>
    <definedName name="Acres2">variables!$D$18</definedName>
    <definedName name="Acres3">variables!$E$18</definedName>
    <definedName name="average_flow">[1]Variables!$G$36</definedName>
    <definedName name="county">variables!$C$4</definedName>
    <definedName name="cover1">variables!$I$10</definedName>
    <definedName name="cover2">variables!$J$10</definedName>
    <definedName name="cover3">variables!$K$10</definedName>
    <definedName name="covertype1">'input.form.data'!$T$2:$T$24</definedName>
    <definedName name="covertype2">'input.form.data'!$N$27:$N$49</definedName>
    <definedName name="covertype3">'input.form.data'!$N$52:$N$74</definedName>
    <definedName name="CP.eff">'input.form.data'!$D$23</definedName>
    <definedName name="CPeff">'input.form.data'!$D$23</definedName>
    <definedName name="Crop1">variables!$C$10</definedName>
    <definedName name="Crop2">variables!$D$10</definedName>
    <definedName name="Crop3">variables!$E$10</definedName>
    <definedName name="DoubleCrop1">variables!$C$19</definedName>
    <definedName name="DoubleCrop2">variables!$D$19</definedName>
    <definedName name="drip.eff">'input.form.data'!$D$22</definedName>
    <definedName name="eff.1">variables!$C$24</definedName>
    <definedName name="eff.2">variables!$D$24</definedName>
    <definedName name="eff.3">variables!$E$24</definedName>
    <definedName name="eff.ppt.crop1">'water.demand.model'!$H$2:$H$13</definedName>
    <definedName name="eff.ppt.crop2">'water.demand.model'!$L$2:$L$13</definedName>
    <definedName name="eff.ppt.crop3">'water.demand.model'!$P$2:$P$13</definedName>
    <definedName name="etc.crop1">'water.demand.model'!$F$2:$F$13</definedName>
    <definedName name="etc.crop2">'water.demand.model'!$K$2:$K$13</definedName>
    <definedName name="etc.crop3">'water.demand.model'!$O$2:$O$13</definedName>
    <definedName name="etccrop1">'water.demand.model'!$F$2:$F$13</definedName>
    <definedName name="Events">'runoff.model'!$C$2:$C$13</definedName>
    <definedName name="GIR.crop.1">'water.demand.model'!$J$2:$J$13</definedName>
    <definedName name="GIR.crop.2">'water.demand.model'!$N$2:$N$13</definedName>
    <definedName name="GIR.crop.3">'water.demand.model'!$R$2:$R$13</definedName>
    <definedName name="hydsg1">variables!$I$12</definedName>
    <definedName name="hydsg2">variables!$J$12</definedName>
    <definedName name="hydsg3">variables!$K$12</definedName>
    <definedName name="irr.sys.1">variables!$C$23</definedName>
    <definedName name="irr.sys.2">variables!$D$23</definedName>
    <definedName name="irr.sys.3">variables!$E$23</definedName>
    <definedName name="irr.sys2">variables!$D$23</definedName>
    <definedName name="jdend1">variables!#REF!</definedName>
    <definedName name="jdend2">variables!#REF!</definedName>
    <definedName name="jdend3">variables!#REF!</definedName>
    <definedName name="jdplant1">variables!$C$12</definedName>
    <definedName name="jdplant2">variables!$D$12</definedName>
    <definedName name="jdplant3">variables!$E$12</definedName>
    <definedName name="kc.crop.1">'water.demand.model'!$C$2:$C$13</definedName>
    <definedName name="kc.crop.2">'water.demand.model'!$D$2:$D$13</definedName>
    <definedName name="kc.crop.3">'water.demand.model'!$E$2:$E$13</definedName>
    <definedName name="kc.ini.1">kcs!$H$21</definedName>
    <definedName name="kc.ini.2">kcs!$H$22</definedName>
    <definedName name="kc.ini.3">kcs!$H$23</definedName>
    <definedName name="kc.late.1">kcs!$J$21</definedName>
    <definedName name="kc.late.2">kcs!$J$22</definedName>
    <definedName name="kc.late.3">kcs!$J$23</definedName>
    <definedName name="kc.mid.1">kcs!$I$21</definedName>
    <definedName name="kc.mid.2">kcs!$I$22</definedName>
    <definedName name="kc.mid.3">kcs!$I$23</definedName>
    <definedName name="kcjd">kcs!$L$2:$L$486</definedName>
    <definedName name="latlongrunoff">ppt.county!$AE$36:$AK$49</definedName>
    <definedName name="latrunoff">ppt.county!$AE$36:$AK$36</definedName>
    <definedName name="livestock.gall">'water.demand.model'!$U$2:$U$13</definedName>
    <definedName name="livestock.list">'input.form.data'!$AA$2:$AA$10</definedName>
    <definedName name="Livestock.total">variables!$G$33</definedName>
    <definedName name="Livestock1">variables!$C$33</definedName>
    <definedName name="Livestock2">variables!$D$33</definedName>
    <definedName name="Livestock3">variables!$E$33</definedName>
    <definedName name="Livestock4">variables!$F$33</definedName>
    <definedName name="Livetype1">variables!$C$32</definedName>
    <definedName name="Livetype2">variables!$D$32</definedName>
    <definedName name="Livetype3">variables!$E$32</definedName>
    <definedName name="Livetype4">variables!$F$32</definedName>
    <definedName name="longrunoff">ppt.county!$AE$36:$AE$49</definedName>
    <definedName name="MWPS.livestock.list">'input.form.data'!$AD$2:$AD$10</definedName>
    <definedName name="opmode">inverse.design!$N$2</definedName>
    <definedName name="P">'runoff.model'!$B$2:$B$13</definedName>
    <definedName name="Pevent">'runoff.model'!$D$2:$D$13</definedName>
    <definedName name="Plant1">variables!$C$11</definedName>
    <definedName name="Plant2">variables!$D$11</definedName>
    <definedName name="Plant3">variables!$E$11</definedName>
    <definedName name="pondcapacity">inverse.design!$K$2</definedName>
    <definedName name="ppt">'water.demand.model'!$G$2:$G$13</definedName>
    <definedName name="pptstalat">ppt.county!$E$2:$E$101</definedName>
    <definedName name="pptstalong">ppt.county!$F$2:$F$101</definedName>
    <definedName name="_xlnm.Print_Area" localSheetId="10">ppt.county!$A$1:$G$101</definedName>
    <definedName name="ref.et">'water.demand.model'!$B$2:$B$13</definedName>
    <definedName name="S">variables!$I$15</definedName>
    <definedName name="SF">'water.demand.model'!$Y$1</definedName>
    <definedName name="simplemethod">variables!$D$5</definedName>
    <definedName name="SS.eff">'input.form.data'!$D$24</definedName>
    <definedName name="TG.eff">'input.form.data'!$D$25</definedName>
    <definedName name="tot.demand">Summary.Sheet!$J$7:$J$18</definedName>
    <definedName name="tot.op.deficit">inverse.design!$Q$21</definedName>
    <definedName name="tot.op.spill">inverse.design!$P$21</definedName>
    <definedName name="tot.runoff">inverse.design!$F$21</definedName>
    <definedName name="total.acres">variables!$F$18</definedName>
    <definedName name="watarea1">variables!$I$11</definedName>
    <definedName name="watarea2">variables!$J$11</definedName>
    <definedName name="watarea3">variables!$K$11</definedName>
    <definedName name="watdemandmodel">'water.demand.model'!$A$1:$V$15</definedName>
    <definedName name="WatSize">variables!$C$5</definedName>
    <definedName name="WatSoil">variables!$C$6</definedName>
    <definedName name="wattotarea">variables!$L$11</definedName>
    <definedName name="wgtd.GIR">'water.demand.model'!$S$2:$S$13</definedName>
    <definedName name="wtgdcn">variables!$L$13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4" l="1"/>
  <c r="C23" i="24"/>
  <c r="P35" i="21"/>
  <c r="D21" i="24"/>
  <c r="B9" i="22"/>
  <c r="A9" i="22"/>
  <c r="B8" i="22"/>
  <c r="A8" i="22"/>
  <c r="B7" i="22"/>
  <c r="A7" i="22"/>
  <c r="B9" i="21"/>
  <c r="B8" i="21"/>
  <c r="B7" i="21"/>
  <c r="A9" i="21"/>
  <c r="A8" i="21"/>
  <c r="A7" i="21"/>
  <c r="E30" i="23"/>
  <c r="E28" i="23"/>
  <c r="E24" i="23"/>
  <c r="E23" i="23"/>
  <c r="C23" i="23"/>
  <c r="C30" i="23"/>
  <c r="C28" i="23"/>
  <c r="C26" i="23"/>
  <c r="C24" i="23"/>
  <c r="C22" i="23"/>
  <c r="C13" i="23"/>
  <c r="D4" i="21"/>
  <c r="C8" i="23"/>
  <c r="C7" i="23"/>
  <c r="B7" i="23"/>
  <c r="C6" i="23"/>
  <c r="B8" i="23"/>
  <c r="B6" i="23"/>
  <c r="B10" i="22" l="1"/>
  <c r="B10" i="21"/>
  <c r="J23" i="10" l="1"/>
  <c r="J22" i="10"/>
  <c r="I23" i="10"/>
  <c r="I22" i="10"/>
  <c r="J21" i="10"/>
  <c r="I21" i="10"/>
  <c r="H23" i="10"/>
  <c r="H22" i="10"/>
  <c r="H21" i="10"/>
  <c r="J105" i="12" l="1"/>
  <c r="K105" i="12"/>
  <c r="L105" i="12"/>
  <c r="M105" i="12"/>
  <c r="N105" i="12"/>
  <c r="O105" i="12"/>
  <c r="P105" i="12"/>
  <c r="Q105" i="12"/>
  <c r="R105" i="12"/>
  <c r="S105" i="12"/>
  <c r="T105" i="12"/>
  <c r="I105" i="12"/>
  <c r="J88" i="12"/>
  <c r="K88" i="12"/>
  <c r="L88" i="12"/>
  <c r="M88" i="12"/>
  <c r="N88" i="12"/>
  <c r="O88" i="12"/>
  <c r="P88" i="12"/>
  <c r="Q88" i="12"/>
  <c r="R88" i="12"/>
  <c r="S88" i="12"/>
  <c r="T88" i="12"/>
  <c r="I88" i="12"/>
  <c r="J62" i="12"/>
  <c r="K62" i="12"/>
  <c r="L62" i="12"/>
  <c r="M62" i="12"/>
  <c r="N62" i="12"/>
  <c r="O62" i="12"/>
  <c r="P62" i="12"/>
  <c r="Q62" i="12"/>
  <c r="R62" i="12"/>
  <c r="S62" i="12"/>
  <c r="T62" i="12"/>
  <c r="I62" i="12"/>
  <c r="J41" i="12"/>
  <c r="K41" i="12"/>
  <c r="L41" i="12"/>
  <c r="M41" i="12"/>
  <c r="N41" i="12"/>
  <c r="O41" i="12"/>
  <c r="P41" i="12"/>
  <c r="Q41" i="12"/>
  <c r="R41" i="12"/>
  <c r="S41" i="12"/>
  <c r="T41" i="12"/>
  <c r="I41" i="12"/>
  <c r="J38" i="12"/>
  <c r="K38" i="12"/>
  <c r="L38" i="12"/>
  <c r="M38" i="12"/>
  <c r="N38" i="12"/>
  <c r="O38" i="12"/>
  <c r="P38" i="12"/>
  <c r="Q38" i="12"/>
  <c r="R38" i="12"/>
  <c r="S38" i="12"/>
  <c r="T38" i="12"/>
  <c r="I38" i="12"/>
  <c r="J28" i="12"/>
  <c r="K28" i="12"/>
  <c r="L28" i="12"/>
  <c r="M28" i="12"/>
  <c r="N28" i="12"/>
  <c r="O28" i="12"/>
  <c r="P28" i="12"/>
  <c r="Q28" i="12"/>
  <c r="R28" i="12"/>
  <c r="S28" i="12"/>
  <c r="T28" i="12"/>
  <c r="I28" i="12"/>
  <c r="J16" i="12"/>
  <c r="K16" i="12"/>
  <c r="L16" i="12"/>
  <c r="M16" i="12"/>
  <c r="N16" i="12"/>
  <c r="O16" i="12"/>
  <c r="P16" i="12"/>
  <c r="Q16" i="12"/>
  <c r="R16" i="12"/>
  <c r="S16" i="12"/>
  <c r="T16" i="12"/>
  <c r="I16" i="12"/>
  <c r="J4" i="12"/>
  <c r="K4" i="12"/>
  <c r="L4" i="12"/>
  <c r="M4" i="12"/>
  <c r="N4" i="12"/>
  <c r="O4" i="12"/>
  <c r="P4" i="12"/>
  <c r="Q4" i="12"/>
  <c r="R4" i="12"/>
  <c r="S4" i="12"/>
  <c r="T4" i="12"/>
  <c r="I4" i="12"/>
  <c r="T90" i="1"/>
  <c r="J90" i="1"/>
  <c r="K90" i="1"/>
  <c r="L90" i="1"/>
  <c r="M90" i="1"/>
  <c r="N90" i="1"/>
  <c r="O90" i="1"/>
  <c r="P90" i="1"/>
  <c r="Q90" i="1"/>
  <c r="R90" i="1"/>
  <c r="S90" i="1"/>
  <c r="I90" i="1"/>
  <c r="J62" i="1"/>
  <c r="K62" i="1"/>
  <c r="L62" i="1"/>
  <c r="M62" i="1"/>
  <c r="N62" i="1"/>
  <c r="O62" i="1"/>
  <c r="P62" i="1"/>
  <c r="Q62" i="1"/>
  <c r="R62" i="1"/>
  <c r="S62" i="1"/>
  <c r="T62" i="1"/>
  <c r="I62" i="1"/>
  <c r="J41" i="1"/>
  <c r="K41" i="1"/>
  <c r="L41" i="1"/>
  <c r="M41" i="1"/>
  <c r="N41" i="1"/>
  <c r="O41" i="1"/>
  <c r="P41" i="1"/>
  <c r="Q41" i="1"/>
  <c r="R41" i="1"/>
  <c r="S41" i="1"/>
  <c r="T41" i="1"/>
  <c r="I41" i="1"/>
  <c r="J38" i="1"/>
  <c r="K38" i="1"/>
  <c r="L38" i="1"/>
  <c r="M38" i="1"/>
  <c r="N38" i="1"/>
  <c r="O38" i="1"/>
  <c r="P38" i="1"/>
  <c r="Q38" i="1"/>
  <c r="R38" i="1"/>
  <c r="S38" i="1"/>
  <c r="T38" i="1"/>
  <c r="I38" i="1"/>
  <c r="J73" i="1"/>
  <c r="K73" i="1"/>
  <c r="L73" i="1"/>
  <c r="M73" i="1"/>
  <c r="N73" i="1"/>
  <c r="O73" i="1"/>
  <c r="P73" i="1"/>
  <c r="Q73" i="1"/>
  <c r="R73" i="1"/>
  <c r="S73" i="1"/>
  <c r="T73" i="1"/>
  <c r="I73" i="1"/>
  <c r="J28" i="1"/>
  <c r="K28" i="1"/>
  <c r="L28" i="1"/>
  <c r="M28" i="1"/>
  <c r="N28" i="1"/>
  <c r="O28" i="1"/>
  <c r="P28" i="1"/>
  <c r="Q28" i="1"/>
  <c r="R28" i="1"/>
  <c r="S28" i="1"/>
  <c r="T28" i="1"/>
  <c r="I28" i="1"/>
  <c r="J16" i="1"/>
  <c r="K16" i="1"/>
  <c r="L16" i="1"/>
  <c r="M16" i="1"/>
  <c r="N16" i="1"/>
  <c r="O16" i="1"/>
  <c r="P16" i="1"/>
  <c r="Q16" i="1"/>
  <c r="R16" i="1"/>
  <c r="S16" i="1"/>
  <c r="T16" i="1"/>
  <c r="I16" i="1"/>
  <c r="J4" i="1"/>
  <c r="K4" i="1"/>
  <c r="L4" i="1"/>
  <c r="M4" i="1"/>
  <c r="N4" i="1"/>
  <c r="O4" i="1"/>
  <c r="P4" i="1"/>
  <c r="Q4" i="1"/>
  <c r="R4" i="1"/>
  <c r="S4" i="1"/>
  <c r="T4" i="1"/>
  <c r="I4" i="1"/>
  <c r="C12" i="8"/>
  <c r="G2" i="9"/>
  <c r="C8" i="18" s="1"/>
  <c r="E13" i="8"/>
  <c r="E12" i="8"/>
  <c r="E14" i="8"/>
  <c r="D23" i="10" s="1"/>
  <c r="E15" i="8"/>
  <c r="E23" i="10" s="1"/>
  <c r="E17" i="8"/>
  <c r="G23" i="10" s="1"/>
  <c r="D13" i="8"/>
  <c r="C22" i="10" s="1"/>
  <c r="D12" i="8"/>
  <c r="D14" i="8"/>
  <c r="D22" i="10" s="1"/>
  <c r="D15" i="8"/>
  <c r="E22" i="10" s="1"/>
  <c r="D17" i="8"/>
  <c r="G22" i="10" s="1"/>
  <c r="F18" i="8"/>
  <c r="B2" i="13"/>
  <c r="D8" i="20" s="1"/>
  <c r="C2" i="13"/>
  <c r="L11" i="8"/>
  <c r="I12" i="8"/>
  <c r="I13" i="8"/>
  <c r="J12" i="8"/>
  <c r="J13" i="8" s="1"/>
  <c r="K12" i="8"/>
  <c r="K13" i="8"/>
  <c r="G2" i="13"/>
  <c r="AB84" i="1"/>
  <c r="B3" i="13"/>
  <c r="D8" i="15" s="1"/>
  <c r="B4" i="13"/>
  <c r="D10" i="20" s="1"/>
  <c r="B5" i="13"/>
  <c r="D11" i="20" s="1"/>
  <c r="B6" i="13"/>
  <c r="B7" i="13"/>
  <c r="D12" i="15" s="1"/>
  <c r="B8" i="13"/>
  <c r="B9" i="13"/>
  <c r="D14" i="15" s="1"/>
  <c r="B10" i="13"/>
  <c r="B11" i="13"/>
  <c r="D16" i="15" s="1"/>
  <c r="B12" i="13"/>
  <c r="D18" i="20" s="1"/>
  <c r="B13" i="13"/>
  <c r="D19" i="20" s="1"/>
  <c r="N8" i="20"/>
  <c r="G3" i="9"/>
  <c r="C9" i="18" s="1"/>
  <c r="C3" i="13"/>
  <c r="G3" i="13"/>
  <c r="G4" i="9"/>
  <c r="C10" i="18" s="1"/>
  <c r="C4" i="13"/>
  <c r="G4" i="13"/>
  <c r="G5" i="9"/>
  <c r="C11" i="18" s="1"/>
  <c r="C5" i="13"/>
  <c r="G5" i="13"/>
  <c r="G6" i="9"/>
  <c r="C6" i="13"/>
  <c r="G6" i="13"/>
  <c r="G7" i="9"/>
  <c r="C13" i="18" s="1"/>
  <c r="C7" i="13"/>
  <c r="G7" i="13"/>
  <c r="G8" i="9"/>
  <c r="C14" i="18" s="1"/>
  <c r="C8" i="13"/>
  <c r="G8" i="13"/>
  <c r="G9" i="9"/>
  <c r="C15" i="18" s="1"/>
  <c r="C9" i="13"/>
  <c r="G9" i="13"/>
  <c r="G10" i="9"/>
  <c r="C16" i="18" s="1"/>
  <c r="C10" i="13"/>
  <c r="G10" i="13"/>
  <c r="G11" i="9"/>
  <c r="C17" i="18" s="1"/>
  <c r="C11" i="13"/>
  <c r="G11" i="13"/>
  <c r="G12" i="9"/>
  <c r="C18" i="18" s="1"/>
  <c r="C12" i="13"/>
  <c r="G12" i="13"/>
  <c r="G13" i="9"/>
  <c r="C19" i="18" s="1"/>
  <c r="C13" i="13"/>
  <c r="G13" i="13"/>
  <c r="J93" i="12"/>
  <c r="K93" i="12"/>
  <c r="L93" i="12"/>
  <c r="M93" i="12"/>
  <c r="N93" i="12"/>
  <c r="O93" i="12"/>
  <c r="P93" i="12"/>
  <c r="Q93" i="12"/>
  <c r="R93" i="12"/>
  <c r="S93" i="12"/>
  <c r="T93" i="12"/>
  <c r="I93" i="12"/>
  <c r="J23" i="12"/>
  <c r="K23" i="12"/>
  <c r="L23" i="12"/>
  <c r="M23" i="12"/>
  <c r="N23" i="12"/>
  <c r="O23" i="12"/>
  <c r="P23" i="12"/>
  <c r="Q23" i="12"/>
  <c r="R23" i="12"/>
  <c r="S23" i="12"/>
  <c r="T23" i="12"/>
  <c r="I23" i="12"/>
  <c r="J3" i="12"/>
  <c r="K3" i="12"/>
  <c r="L3" i="12"/>
  <c r="M3" i="12"/>
  <c r="N3" i="12"/>
  <c r="O3" i="12"/>
  <c r="P3" i="12"/>
  <c r="Q3" i="12"/>
  <c r="R3" i="12"/>
  <c r="S3" i="12"/>
  <c r="T3" i="12"/>
  <c r="I3" i="12"/>
  <c r="J35" i="12"/>
  <c r="K35" i="12"/>
  <c r="L35" i="12"/>
  <c r="M35" i="12"/>
  <c r="N35" i="12"/>
  <c r="O35" i="12"/>
  <c r="P35" i="12"/>
  <c r="Q35" i="12"/>
  <c r="R35" i="12"/>
  <c r="S35" i="12"/>
  <c r="T35" i="12"/>
  <c r="I35" i="12"/>
  <c r="J32" i="12"/>
  <c r="K32" i="12"/>
  <c r="L32" i="12"/>
  <c r="M32" i="12"/>
  <c r="N32" i="12"/>
  <c r="O32" i="12"/>
  <c r="P32" i="12"/>
  <c r="Q32" i="12"/>
  <c r="R32" i="12"/>
  <c r="S32" i="12"/>
  <c r="T32" i="12"/>
  <c r="I32" i="12"/>
  <c r="J49" i="12"/>
  <c r="K49" i="12"/>
  <c r="L49" i="12"/>
  <c r="M49" i="12"/>
  <c r="N49" i="12"/>
  <c r="O49" i="12"/>
  <c r="P49" i="12"/>
  <c r="Q49" i="12"/>
  <c r="R49" i="12"/>
  <c r="S49" i="12"/>
  <c r="T49" i="12"/>
  <c r="I49" i="12"/>
  <c r="X92" i="1"/>
  <c r="J92" i="1"/>
  <c r="K92" i="1"/>
  <c r="L92" i="1"/>
  <c r="M92" i="1"/>
  <c r="N92" i="1"/>
  <c r="O92" i="1"/>
  <c r="P92" i="1"/>
  <c r="Q92" i="1"/>
  <c r="R92" i="1"/>
  <c r="S92" i="1"/>
  <c r="T92" i="1"/>
  <c r="I92" i="1"/>
  <c r="E2" i="13"/>
  <c r="E3" i="13"/>
  <c r="E4" i="13"/>
  <c r="E5" i="13"/>
  <c r="E6" i="13"/>
  <c r="E7" i="13"/>
  <c r="E8" i="13"/>
  <c r="E9" i="13"/>
  <c r="E10" i="13"/>
  <c r="E11" i="13"/>
  <c r="E12" i="13"/>
  <c r="E13" i="13"/>
  <c r="E16" i="8"/>
  <c r="F23" i="10" s="1"/>
  <c r="D16" i="8"/>
  <c r="F22" i="10" s="1"/>
  <c r="G19" i="10"/>
  <c r="C16" i="8"/>
  <c r="F21" i="10" s="1"/>
  <c r="C15" i="8"/>
  <c r="E21" i="10" s="1"/>
  <c r="C14" i="8"/>
  <c r="D21" i="10" s="1"/>
  <c r="C13" i="8"/>
  <c r="C21" i="10" s="1"/>
  <c r="G18" i="10"/>
  <c r="K5" i="20"/>
  <c r="D14" i="20"/>
  <c r="D1" i="20"/>
  <c r="D6" i="18"/>
  <c r="I6" i="18"/>
  <c r="N6" i="18"/>
  <c r="B4" i="18"/>
  <c r="B23" i="10"/>
  <c r="G17" i="10"/>
  <c r="G16" i="10"/>
  <c r="Y1" i="9"/>
  <c r="B22" i="10"/>
  <c r="B21" i="10"/>
  <c r="G15" i="10"/>
  <c r="G14" i="10"/>
  <c r="G13" i="10"/>
  <c r="G12" i="10"/>
  <c r="G11" i="10"/>
  <c r="G10" i="10"/>
  <c r="G9" i="10"/>
  <c r="G8" i="10"/>
  <c r="G7" i="10"/>
  <c r="G6" i="10"/>
  <c r="G5" i="10"/>
  <c r="G4" i="10"/>
  <c r="G3" i="10"/>
  <c r="G2" i="10"/>
  <c r="C17" i="8" s="1"/>
  <c r="G21" i="10" s="1"/>
  <c r="AG5" i="6"/>
  <c r="AG4" i="6"/>
  <c r="K31" i="3"/>
  <c r="J31" i="3"/>
  <c r="I31" i="3"/>
  <c r="H31" i="3"/>
  <c r="G31" i="3"/>
  <c r="F31" i="3"/>
  <c r="E31" i="3"/>
  <c r="D31" i="3"/>
  <c r="C31" i="3"/>
  <c r="B31" i="3"/>
  <c r="K30" i="3"/>
  <c r="J30" i="3"/>
  <c r="I30" i="3"/>
  <c r="H30" i="3"/>
  <c r="G30" i="3"/>
  <c r="F30" i="3"/>
  <c r="E30" i="3"/>
  <c r="D30" i="3"/>
  <c r="C30" i="3"/>
  <c r="B30" i="3"/>
  <c r="K29" i="3"/>
  <c r="J29" i="3"/>
  <c r="I29" i="3"/>
  <c r="H29" i="3"/>
  <c r="G29" i="3"/>
  <c r="F29" i="3"/>
  <c r="E29" i="3"/>
  <c r="D29" i="3"/>
  <c r="C29" i="3"/>
  <c r="B29" i="3"/>
  <c r="K28" i="3"/>
  <c r="J28" i="3"/>
  <c r="I28" i="3"/>
  <c r="H28" i="3"/>
  <c r="G28" i="3"/>
  <c r="F28" i="3"/>
  <c r="E28" i="3"/>
  <c r="D28" i="3"/>
  <c r="C28" i="3"/>
  <c r="B28" i="3"/>
  <c r="K27" i="3"/>
  <c r="J27" i="3"/>
  <c r="I27" i="3"/>
  <c r="H27" i="3"/>
  <c r="G27" i="3"/>
  <c r="F27" i="3"/>
  <c r="E27" i="3"/>
  <c r="D27" i="3"/>
  <c r="C27" i="3"/>
  <c r="B27" i="3"/>
  <c r="K26" i="3"/>
  <c r="J26" i="3"/>
  <c r="I26" i="3"/>
  <c r="H26" i="3"/>
  <c r="G26" i="3"/>
  <c r="F26" i="3"/>
  <c r="E26" i="3"/>
  <c r="D26" i="3"/>
  <c r="C26" i="3"/>
  <c r="B26" i="3"/>
  <c r="K25" i="3"/>
  <c r="J25" i="3"/>
  <c r="I25" i="3"/>
  <c r="H25" i="3"/>
  <c r="G25" i="3"/>
  <c r="F25" i="3"/>
  <c r="E25" i="3"/>
  <c r="D25" i="3"/>
  <c r="C25" i="3"/>
  <c r="B25" i="3"/>
  <c r="K24" i="3"/>
  <c r="J24" i="3"/>
  <c r="I24" i="3"/>
  <c r="H24" i="3"/>
  <c r="G24" i="3"/>
  <c r="F24" i="3"/>
  <c r="E24" i="3"/>
  <c r="D24" i="3"/>
  <c r="C24" i="3"/>
  <c r="B24" i="3"/>
  <c r="K23" i="3"/>
  <c r="J23" i="3"/>
  <c r="I23" i="3"/>
  <c r="H23" i="3"/>
  <c r="G23" i="3"/>
  <c r="F23" i="3"/>
  <c r="E23" i="3"/>
  <c r="D23" i="3"/>
  <c r="C23" i="3"/>
  <c r="B23" i="3"/>
  <c r="K22" i="3"/>
  <c r="J22" i="3"/>
  <c r="I22" i="3"/>
  <c r="H22" i="3"/>
  <c r="G22" i="3"/>
  <c r="F22" i="3"/>
  <c r="E22" i="3"/>
  <c r="D22" i="3"/>
  <c r="C22" i="3"/>
  <c r="B22" i="3"/>
  <c r="K21" i="3"/>
  <c r="J21" i="3"/>
  <c r="I21" i="3"/>
  <c r="H21" i="3"/>
  <c r="G21" i="3"/>
  <c r="F21" i="3"/>
  <c r="E21" i="3"/>
  <c r="D21" i="3"/>
  <c r="C21" i="3"/>
  <c r="B21" i="3"/>
  <c r="K20" i="3"/>
  <c r="J20" i="3"/>
  <c r="I20" i="3"/>
  <c r="H20" i="3"/>
  <c r="G20" i="3"/>
  <c r="F20" i="3"/>
  <c r="E20" i="3"/>
  <c r="D20" i="3"/>
  <c r="C20" i="3"/>
  <c r="B20" i="3"/>
  <c r="N101" i="2"/>
  <c r="M101" i="2"/>
  <c r="L101" i="2"/>
  <c r="K101" i="2"/>
  <c r="J101" i="2"/>
  <c r="I101" i="2"/>
  <c r="H101" i="2"/>
  <c r="G101" i="2"/>
  <c r="F101" i="2"/>
  <c r="E101" i="2"/>
  <c r="D101" i="2"/>
  <c r="C101" i="2"/>
  <c r="N100" i="2"/>
  <c r="M100" i="2"/>
  <c r="L100" i="2"/>
  <c r="K100" i="2"/>
  <c r="J100" i="2"/>
  <c r="I100" i="2"/>
  <c r="H100" i="2"/>
  <c r="G100" i="2"/>
  <c r="F100" i="2"/>
  <c r="E100" i="2"/>
  <c r="D100" i="2"/>
  <c r="C100" i="2"/>
  <c r="N99" i="2"/>
  <c r="M99" i="2"/>
  <c r="L99" i="2"/>
  <c r="K99" i="2"/>
  <c r="J99" i="2"/>
  <c r="I99" i="2"/>
  <c r="H99" i="2"/>
  <c r="G99" i="2"/>
  <c r="F99" i="2"/>
  <c r="E99" i="2"/>
  <c r="D99" i="2"/>
  <c r="C99" i="2"/>
  <c r="N98" i="2"/>
  <c r="M98" i="2"/>
  <c r="L98" i="2"/>
  <c r="K98" i="2"/>
  <c r="J98" i="2"/>
  <c r="I98" i="2"/>
  <c r="H98" i="2"/>
  <c r="G98" i="2"/>
  <c r="F98" i="2"/>
  <c r="E98" i="2"/>
  <c r="D98" i="2"/>
  <c r="C98" i="2"/>
  <c r="N97" i="2"/>
  <c r="M97" i="2"/>
  <c r="L97" i="2"/>
  <c r="K97" i="2"/>
  <c r="J97" i="2"/>
  <c r="I97" i="2"/>
  <c r="H97" i="2"/>
  <c r="G97" i="2"/>
  <c r="F97" i="2"/>
  <c r="E97" i="2"/>
  <c r="D97" i="2"/>
  <c r="C97" i="2"/>
  <c r="N96" i="2"/>
  <c r="M96" i="2"/>
  <c r="L96" i="2"/>
  <c r="K96" i="2"/>
  <c r="J96" i="2"/>
  <c r="I96" i="2"/>
  <c r="H96" i="2"/>
  <c r="G96" i="2"/>
  <c r="F96" i="2"/>
  <c r="E96" i="2"/>
  <c r="D96" i="2"/>
  <c r="C96" i="2"/>
  <c r="N95" i="2"/>
  <c r="M95" i="2"/>
  <c r="L95" i="2"/>
  <c r="K95" i="2"/>
  <c r="J95" i="2"/>
  <c r="I95" i="2"/>
  <c r="H95" i="2"/>
  <c r="G95" i="2"/>
  <c r="F95" i="2"/>
  <c r="E95" i="2"/>
  <c r="D95" i="2"/>
  <c r="C95" i="2"/>
  <c r="N94" i="2"/>
  <c r="M94" i="2"/>
  <c r="L94" i="2"/>
  <c r="K94" i="2"/>
  <c r="J94" i="2"/>
  <c r="I94" i="2"/>
  <c r="H94" i="2"/>
  <c r="G94" i="2"/>
  <c r="F94" i="2"/>
  <c r="E94" i="2"/>
  <c r="D94" i="2"/>
  <c r="C94" i="2"/>
  <c r="N93" i="2"/>
  <c r="M93" i="2"/>
  <c r="L93" i="2"/>
  <c r="K93" i="2"/>
  <c r="J93" i="2"/>
  <c r="I93" i="2"/>
  <c r="B8" i="9" s="1"/>
  <c r="B14" i="18" s="1"/>
  <c r="H93" i="2"/>
  <c r="G93" i="2"/>
  <c r="F93" i="2"/>
  <c r="E93" i="2"/>
  <c r="D93" i="2"/>
  <c r="C93" i="2"/>
  <c r="N92" i="2"/>
  <c r="M92" i="2"/>
  <c r="L92" i="2"/>
  <c r="K92" i="2"/>
  <c r="J92" i="2"/>
  <c r="I92" i="2"/>
  <c r="H92" i="2"/>
  <c r="G92" i="2"/>
  <c r="F92" i="2"/>
  <c r="E92" i="2"/>
  <c r="D92" i="2"/>
  <c r="C92" i="2"/>
  <c r="N91" i="2"/>
  <c r="M91" i="2"/>
  <c r="L91" i="2"/>
  <c r="K91" i="2"/>
  <c r="J91" i="2"/>
  <c r="I91" i="2"/>
  <c r="H91" i="2"/>
  <c r="G91" i="2"/>
  <c r="F91" i="2"/>
  <c r="E91" i="2"/>
  <c r="D91" i="2"/>
  <c r="C91" i="2"/>
  <c r="N90" i="2"/>
  <c r="M90" i="2"/>
  <c r="L90" i="2"/>
  <c r="K90" i="2"/>
  <c r="J90" i="2"/>
  <c r="I90" i="2"/>
  <c r="H90" i="2"/>
  <c r="G90" i="2"/>
  <c r="F90" i="2"/>
  <c r="E90" i="2"/>
  <c r="D90" i="2"/>
  <c r="C90" i="2"/>
  <c r="N89" i="2"/>
  <c r="M89" i="2"/>
  <c r="L89" i="2"/>
  <c r="K89" i="2"/>
  <c r="J89" i="2"/>
  <c r="I89" i="2"/>
  <c r="H89" i="2"/>
  <c r="G89" i="2"/>
  <c r="F89" i="2"/>
  <c r="E89" i="2"/>
  <c r="D89" i="2"/>
  <c r="C89" i="2"/>
  <c r="N88" i="2"/>
  <c r="M88" i="2"/>
  <c r="L88" i="2"/>
  <c r="K88" i="2"/>
  <c r="J88" i="2"/>
  <c r="I88" i="2"/>
  <c r="H88" i="2"/>
  <c r="G88" i="2"/>
  <c r="F88" i="2"/>
  <c r="E88" i="2"/>
  <c r="D88" i="2"/>
  <c r="C88" i="2"/>
  <c r="N87" i="2"/>
  <c r="M87" i="2"/>
  <c r="L87" i="2"/>
  <c r="K87" i="2"/>
  <c r="J87" i="2"/>
  <c r="I87" i="2"/>
  <c r="H87" i="2"/>
  <c r="G87" i="2"/>
  <c r="F87" i="2"/>
  <c r="E87" i="2"/>
  <c r="D87" i="2"/>
  <c r="C87" i="2"/>
  <c r="N86" i="2"/>
  <c r="M86" i="2"/>
  <c r="L86" i="2"/>
  <c r="K86" i="2"/>
  <c r="J86" i="2"/>
  <c r="I86" i="2"/>
  <c r="H86" i="2"/>
  <c r="G86" i="2"/>
  <c r="F86" i="2"/>
  <c r="E86" i="2"/>
  <c r="D86" i="2"/>
  <c r="C86" i="2"/>
  <c r="N85" i="2"/>
  <c r="M85" i="2"/>
  <c r="L85" i="2"/>
  <c r="K85" i="2"/>
  <c r="J85" i="2"/>
  <c r="I85" i="2"/>
  <c r="H85" i="2"/>
  <c r="G85" i="2"/>
  <c r="F85" i="2"/>
  <c r="E85" i="2"/>
  <c r="D85" i="2"/>
  <c r="C85" i="2"/>
  <c r="N84" i="2"/>
  <c r="M84" i="2"/>
  <c r="L84" i="2"/>
  <c r="K84" i="2"/>
  <c r="J84" i="2"/>
  <c r="I84" i="2"/>
  <c r="H84" i="2"/>
  <c r="G84" i="2"/>
  <c r="F84" i="2"/>
  <c r="E84" i="2"/>
  <c r="D84" i="2"/>
  <c r="C84" i="2"/>
  <c r="N83" i="2"/>
  <c r="M83" i="2"/>
  <c r="L83" i="2"/>
  <c r="K83" i="2"/>
  <c r="J83" i="2"/>
  <c r="I83" i="2"/>
  <c r="H83" i="2"/>
  <c r="G83" i="2"/>
  <c r="F83" i="2"/>
  <c r="E83" i="2"/>
  <c r="D83" i="2"/>
  <c r="C83" i="2"/>
  <c r="N82" i="2"/>
  <c r="M82" i="2"/>
  <c r="L82" i="2"/>
  <c r="K82" i="2"/>
  <c r="J82" i="2"/>
  <c r="I82" i="2"/>
  <c r="H82" i="2"/>
  <c r="G82" i="2"/>
  <c r="F82" i="2"/>
  <c r="E82" i="2"/>
  <c r="D82" i="2"/>
  <c r="C82" i="2"/>
  <c r="N81" i="2"/>
  <c r="M81" i="2"/>
  <c r="L81" i="2"/>
  <c r="K81" i="2"/>
  <c r="J81" i="2"/>
  <c r="I81" i="2"/>
  <c r="H81" i="2"/>
  <c r="G81" i="2"/>
  <c r="F81" i="2"/>
  <c r="E81" i="2"/>
  <c r="D81" i="2"/>
  <c r="C81" i="2"/>
  <c r="N80" i="2"/>
  <c r="M80" i="2"/>
  <c r="L80" i="2"/>
  <c r="K80" i="2"/>
  <c r="J80" i="2"/>
  <c r="I80" i="2"/>
  <c r="H80" i="2"/>
  <c r="G80" i="2"/>
  <c r="F80" i="2"/>
  <c r="E80" i="2"/>
  <c r="D80" i="2"/>
  <c r="C80" i="2"/>
  <c r="N79" i="2"/>
  <c r="M79" i="2"/>
  <c r="L79" i="2"/>
  <c r="K79" i="2"/>
  <c r="J79" i="2"/>
  <c r="I79" i="2"/>
  <c r="H79" i="2"/>
  <c r="G79" i="2"/>
  <c r="F79" i="2"/>
  <c r="E79" i="2"/>
  <c r="D79" i="2"/>
  <c r="C79" i="2"/>
  <c r="N78" i="2"/>
  <c r="M78" i="2"/>
  <c r="L78" i="2"/>
  <c r="K78" i="2"/>
  <c r="J78" i="2"/>
  <c r="I78" i="2"/>
  <c r="H78" i="2"/>
  <c r="G78" i="2"/>
  <c r="F78" i="2"/>
  <c r="E78" i="2"/>
  <c r="D78" i="2"/>
  <c r="C78" i="2"/>
  <c r="N77" i="2"/>
  <c r="M77" i="2"/>
  <c r="L77" i="2"/>
  <c r="K77" i="2"/>
  <c r="J77" i="2"/>
  <c r="I77" i="2"/>
  <c r="H77" i="2"/>
  <c r="G77" i="2"/>
  <c r="F77" i="2"/>
  <c r="E77" i="2"/>
  <c r="D77" i="2"/>
  <c r="C77" i="2"/>
  <c r="N76" i="2"/>
  <c r="M76" i="2"/>
  <c r="L76" i="2"/>
  <c r="K76" i="2"/>
  <c r="J76" i="2"/>
  <c r="I76" i="2"/>
  <c r="H76" i="2"/>
  <c r="G76" i="2"/>
  <c r="F76" i="2"/>
  <c r="E76" i="2"/>
  <c r="D76" i="2"/>
  <c r="C76" i="2"/>
  <c r="N75" i="2"/>
  <c r="M75" i="2"/>
  <c r="L75" i="2"/>
  <c r="K75" i="2"/>
  <c r="J75" i="2"/>
  <c r="I75" i="2"/>
  <c r="H75" i="2"/>
  <c r="G75" i="2"/>
  <c r="F75" i="2"/>
  <c r="E75" i="2"/>
  <c r="D75" i="2"/>
  <c r="C75" i="2"/>
  <c r="N74" i="2"/>
  <c r="M74" i="2"/>
  <c r="L74" i="2"/>
  <c r="K74" i="2"/>
  <c r="J74" i="2"/>
  <c r="I74" i="2"/>
  <c r="H74" i="2"/>
  <c r="G74" i="2"/>
  <c r="F74" i="2"/>
  <c r="E74" i="2"/>
  <c r="D74" i="2"/>
  <c r="C74" i="2"/>
  <c r="N73" i="2"/>
  <c r="M73" i="2"/>
  <c r="L73" i="2"/>
  <c r="K73" i="2"/>
  <c r="J73" i="2"/>
  <c r="I73" i="2"/>
  <c r="H73" i="2"/>
  <c r="G73" i="2"/>
  <c r="F73" i="2"/>
  <c r="E73" i="2"/>
  <c r="D73" i="2"/>
  <c r="C73" i="2"/>
  <c r="N72" i="2"/>
  <c r="M72" i="2"/>
  <c r="L72" i="2"/>
  <c r="K72" i="2"/>
  <c r="J72" i="2"/>
  <c r="I72" i="2"/>
  <c r="H72" i="2"/>
  <c r="G72" i="2"/>
  <c r="F72" i="2"/>
  <c r="E72" i="2"/>
  <c r="D72" i="2"/>
  <c r="C72" i="2"/>
  <c r="N71" i="2"/>
  <c r="M71" i="2"/>
  <c r="L71" i="2"/>
  <c r="K71" i="2"/>
  <c r="J71" i="2"/>
  <c r="I71" i="2"/>
  <c r="H71" i="2"/>
  <c r="G71" i="2"/>
  <c r="F71" i="2"/>
  <c r="E71" i="2"/>
  <c r="D71" i="2"/>
  <c r="C71" i="2"/>
  <c r="N70" i="2"/>
  <c r="M70" i="2"/>
  <c r="L70" i="2"/>
  <c r="K70" i="2"/>
  <c r="J70" i="2"/>
  <c r="I70" i="2"/>
  <c r="H70" i="2"/>
  <c r="G70" i="2"/>
  <c r="F70" i="2"/>
  <c r="E70" i="2"/>
  <c r="D70" i="2"/>
  <c r="C70" i="2"/>
  <c r="N69" i="2"/>
  <c r="M69" i="2"/>
  <c r="L69" i="2"/>
  <c r="K69" i="2"/>
  <c r="J69" i="2"/>
  <c r="I69" i="2"/>
  <c r="H69" i="2"/>
  <c r="G69" i="2"/>
  <c r="F69" i="2"/>
  <c r="E69" i="2"/>
  <c r="D69" i="2"/>
  <c r="C69" i="2"/>
  <c r="N68" i="2"/>
  <c r="M68" i="2"/>
  <c r="L68" i="2"/>
  <c r="K68" i="2"/>
  <c r="J68" i="2"/>
  <c r="I68" i="2"/>
  <c r="H68" i="2"/>
  <c r="G68" i="2"/>
  <c r="F68" i="2"/>
  <c r="E68" i="2"/>
  <c r="D68" i="2"/>
  <c r="C68" i="2"/>
  <c r="N67" i="2"/>
  <c r="M67" i="2"/>
  <c r="L67" i="2"/>
  <c r="K67" i="2"/>
  <c r="J67" i="2"/>
  <c r="I67" i="2"/>
  <c r="H67" i="2"/>
  <c r="G67" i="2"/>
  <c r="F67" i="2"/>
  <c r="E67" i="2"/>
  <c r="D67" i="2"/>
  <c r="C67" i="2"/>
  <c r="N66" i="2"/>
  <c r="M66" i="2"/>
  <c r="L66" i="2"/>
  <c r="K66" i="2"/>
  <c r="J66" i="2"/>
  <c r="I66" i="2"/>
  <c r="H66" i="2"/>
  <c r="G66" i="2"/>
  <c r="F66" i="2"/>
  <c r="E66" i="2"/>
  <c r="D66" i="2"/>
  <c r="C66" i="2"/>
  <c r="N65" i="2"/>
  <c r="M65" i="2"/>
  <c r="L65" i="2"/>
  <c r="K65" i="2"/>
  <c r="J65" i="2"/>
  <c r="I65" i="2"/>
  <c r="H65" i="2"/>
  <c r="G65" i="2"/>
  <c r="F65" i="2"/>
  <c r="E65" i="2"/>
  <c r="D65" i="2"/>
  <c r="C65" i="2"/>
  <c r="N64" i="2"/>
  <c r="M64" i="2"/>
  <c r="L64" i="2"/>
  <c r="K64" i="2"/>
  <c r="J64" i="2"/>
  <c r="I64" i="2"/>
  <c r="H64" i="2"/>
  <c r="G64" i="2"/>
  <c r="F64" i="2"/>
  <c r="E64" i="2"/>
  <c r="D64" i="2"/>
  <c r="C64" i="2"/>
  <c r="N63" i="2"/>
  <c r="M63" i="2"/>
  <c r="L63" i="2"/>
  <c r="K63" i="2"/>
  <c r="J63" i="2"/>
  <c r="I63" i="2"/>
  <c r="H63" i="2"/>
  <c r="G63" i="2"/>
  <c r="F63" i="2"/>
  <c r="E63" i="2"/>
  <c r="D63" i="2"/>
  <c r="C63" i="2"/>
  <c r="N62" i="2"/>
  <c r="M62" i="2"/>
  <c r="L62" i="2"/>
  <c r="K62" i="2"/>
  <c r="J62" i="2"/>
  <c r="I62" i="2"/>
  <c r="H62" i="2"/>
  <c r="G62" i="2"/>
  <c r="F62" i="2"/>
  <c r="E62" i="2"/>
  <c r="D62" i="2"/>
  <c r="C62" i="2"/>
  <c r="N61" i="2"/>
  <c r="M61" i="2"/>
  <c r="L61" i="2"/>
  <c r="K61" i="2"/>
  <c r="J61" i="2"/>
  <c r="I61" i="2"/>
  <c r="H61" i="2"/>
  <c r="G61" i="2"/>
  <c r="F61" i="2"/>
  <c r="E61" i="2"/>
  <c r="D61" i="2"/>
  <c r="C61" i="2"/>
  <c r="N60" i="2"/>
  <c r="M60" i="2"/>
  <c r="L60" i="2"/>
  <c r="K60" i="2"/>
  <c r="J60" i="2"/>
  <c r="I60" i="2"/>
  <c r="H60" i="2"/>
  <c r="G60" i="2"/>
  <c r="F60" i="2"/>
  <c r="E60" i="2"/>
  <c r="D60" i="2"/>
  <c r="C60" i="2"/>
  <c r="N59" i="2"/>
  <c r="M59" i="2"/>
  <c r="L59" i="2"/>
  <c r="K59" i="2"/>
  <c r="J59" i="2"/>
  <c r="I59" i="2"/>
  <c r="H59" i="2"/>
  <c r="G59" i="2"/>
  <c r="F59" i="2"/>
  <c r="E59" i="2"/>
  <c r="D59" i="2"/>
  <c r="C59" i="2"/>
  <c r="N58" i="2"/>
  <c r="M58" i="2"/>
  <c r="L58" i="2"/>
  <c r="K58" i="2"/>
  <c r="J58" i="2"/>
  <c r="I58" i="2"/>
  <c r="H58" i="2"/>
  <c r="G58" i="2"/>
  <c r="F58" i="2"/>
  <c r="E58" i="2"/>
  <c r="D58" i="2"/>
  <c r="C58" i="2"/>
  <c r="N57" i="2"/>
  <c r="M57" i="2"/>
  <c r="L57" i="2"/>
  <c r="K57" i="2"/>
  <c r="J57" i="2"/>
  <c r="I57" i="2"/>
  <c r="H57" i="2"/>
  <c r="G57" i="2"/>
  <c r="F57" i="2"/>
  <c r="E57" i="2"/>
  <c r="D57" i="2"/>
  <c r="C57" i="2"/>
  <c r="N56" i="2"/>
  <c r="M56" i="2"/>
  <c r="L56" i="2"/>
  <c r="K56" i="2"/>
  <c r="J56" i="2"/>
  <c r="I56" i="2"/>
  <c r="H56" i="2"/>
  <c r="G56" i="2"/>
  <c r="F56" i="2"/>
  <c r="E56" i="2"/>
  <c r="D56" i="2"/>
  <c r="C56" i="2"/>
  <c r="N55" i="2"/>
  <c r="M55" i="2"/>
  <c r="L55" i="2"/>
  <c r="K55" i="2"/>
  <c r="J55" i="2"/>
  <c r="I55" i="2"/>
  <c r="H55" i="2"/>
  <c r="G55" i="2"/>
  <c r="F55" i="2"/>
  <c r="E55" i="2"/>
  <c r="D55" i="2"/>
  <c r="C55" i="2"/>
  <c r="N54" i="2"/>
  <c r="M54" i="2"/>
  <c r="L54" i="2"/>
  <c r="K54" i="2"/>
  <c r="J54" i="2"/>
  <c r="I54" i="2"/>
  <c r="H54" i="2"/>
  <c r="G54" i="2"/>
  <c r="F54" i="2"/>
  <c r="E54" i="2"/>
  <c r="D54" i="2"/>
  <c r="C54" i="2"/>
  <c r="N53" i="2"/>
  <c r="M53" i="2"/>
  <c r="L53" i="2"/>
  <c r="K53" i="2"/>
  <c r="J53" i="2"/>
  <c r="I53" i="2"/>
  <c r="H53" i="2"/>
  <c r="G53" i="2"/>
  <c r="F53" i="2"/>
  <c r="E53" i="2"/>
  <c r="D53" i="2"/>
  <c r="C53" i="2"/>
  <c r="N52" i="2"/>
  <c r="M52" i="2"/>
  <c r="L52" i="2"/>
  <c r="K52" i="2"/>
  <c r="J52" i="2"/>
  <c r="I52" i="2"/>
  <c r="H52" i="2"/>
  <c r="G52" i="2"/>
  <c r="F52" i="2"/>
  <c r="E52" i="2"/>
  <c r="D52" i="2"/>
  <c r="C52" i="2"/>
  <c r="N51" i="2"/>
  <c r="M51" i="2"/>
  <c r="L51" i="2"/>
  <c r="K51" i="2"/>
  <c r="J51" i="2"/>
  <c r="I51" i="2"/>
  <c r="H51" i="2"/>
  <c r="G51" i="2"/>
  <c r="F51" i="2"/>
  <c r="E51" i="2"/>
  <c r="D51" i="2"/>
  <c r="C51" i="2"/>
  <c r="N50" i="2"/>
  <c r="M50" i="2"/>
  <c r="L50" i="2"/>
  <c r="K50" i="2"/>
  <c r="J50" i="2"/>
  <c r="I50" i="2"/>
  <c r="H50" i="2"/>
  <c r="G50" i="2"/>
  <c r="F50" i="2"/>
  <c r="E50" i="2"/>
  <c r="D50" i="2"/>
  <c r="C50" i="2"/>
  <c r="N49" i="2"/>
  <c r="M49" i="2"/>
  <c r="L49" i="2"/>
  <c r="K49" i="2"/>
  <c r="J49" i="2"/>
  <c r="I49" i="2"/>
  <c r="H49" i="2"/>
  <c r="G49" i="2"/>
  <c r="F49" i="2"/>
  <c r="E49" i="2"/>
  <c r="D49" i="2"/>
  <c r="C49" i="2"/>
  <c r="N48" i="2"/>
  <c r="M48" i="2"/>
  <c r="L48" i="2"/>
  <c r="K48" i="2"/>
  <c r="J48" i="2"/>
  <c r="I48" i="2"/>
  <c r="H48" i="2"/>
  <c r="G48" i="2"/>
  <c r="F48" i="2"/>
  <c r="E48" i="2"/>
  <c r="D48" i="2"/>
  <c r="C48" i="2"/>
  <c r="N47" i="2"/>
  <c r="M47" i="2"/>
  <c r="L47" i="2"/>
  <c r="K47" i="2"/>
  <c r="J47" i="2"/>
  <c r="I47" i="2"/>
  <c r="H47" i="2"/>
  <c r="G47" i="2"/>
  <c r="F47" i="2"/>
  <c r="E47" i="2"/>
  <c r="D47" i="2"/>
  <c r="C47" i="2"/>
  <c r="N46" i="2"/>
  <c r="M46" i="2"/>
  <c r="L46" i="2"/>
  <c r="K46" i="2"/>
  <c r="J46" i="2"/>
  <c r="I46" i="2"/>
  <c r="H46" i="2"/>
  <c r="G46" i="2"/>
  <c r="F46" i="2"/>
  <c r="E46" i="2"/>
  <c r="D46" i="2"/>
  <c r="C46" i="2"/>
  <c r="N45" i="2"/>
  <c r="M45" i="2"/>
  <c r="L45" i="2"/>
  <c r="K45" i="2"/>
  <c r="J45" i="2"/>
  <c r="I45" i="2"/>
  <c r="H45" i="2"/>
  <c r="G45" i="2"/>
  <c r="F45" i="2"/>
  <c r="E45" i="2"/>
  <c r="D45" i="2"/>
  <c r="C45" i="2"/>
  <c r="N44" i="2"/>
  <c r="M44" i="2"/>
  <c r="L44" i="2"/>
  <c r="K44" i="2"/>
  <c r="J44" i="2"/>
  <c r="I44" i="2"/>
  <c r="H44" i="2"/>
  <c r="G44" i="2"/>
  <c r="F44" i="2"/>
  <c r="E44" i="2"/>
  <c r="D44" i="2"/>
  <c r="C44" i="2"/>
  <c r="N43" i="2"/>
  <c r="M43" i="2"/>
  <c r="L43" i="2"/>
  <c r="K43" i="2"/>
  <c r="J43" i="2"/>
  <c r="I43" i="2"/>
  <c r="H43" i="2"/>
  <c r="G43" i="2"/>
  <c r="F43" i="2"/>
  <c r="E43" i="2"/>
  <c r="D43" i="2"/>
  <c r="C43" i="2"/>
  <c r="N42" i="2"/>
  <c r="M42" i="2"/>
  <c r="L42" i="2"/>
  <c r="K42" i="2"/>
  <c r="J42" i="2"/>
  <c r="I42" i="2"/>
  <c r="H42" i="2"/>
  <c r="G42" i="2"/>
  <c r="F42" i="2"/>
  <c r="E42" i="2"/>
  <c r="D42" i="2"/>
  <c r="C42" i="2"/>
  <c r="N41" i="2"/>
  <c r="M41" i="2"/>
  <c r="L41" i="2"/>
  <c r="K41" i="2"/>
  <c r="J41" i="2"/>
  <c r="I41" i="2"/>
  <c r="H41" i="2"/>
  <c r="G41" i="2"/>
  <c r="F41" i="2"/>
  <c r="E41" i="2"/>
  <c r="D41" i="2"/>
  <c r="C41" i="2"/>
  <c r="N40" i="2"/>
  <c r="M40" i="2"/>
  <c r="L40" i="2"/>
  <c r="K40" i="2"/>
  <c r="J40" i="2"/>
  <c r="I40" i="2"/>
  <c r="H40" i="2"/>
  <c r="G40" i="2"/>
  <c r="F40" i="2"/>
  <c r="E40" i="2"/>
  <c r="D40" i="2"/>
  <c r="C40" i="2"/>
  <c r="N39" i="2"/>
  <c r="M39" i="2"/>
  <c r="L39" i="2"/>
  <c r="K39" i="2"/>
  <c r="J39" i="2"/>
  <c r="I39" i="2"/>
  <c r="H39" i="2"/>
  <c r="G39" i="2"/>
  <c r="F39" i="2"/>
  <c r="E39" i="2"/>
  <c r="D39" i="2"/>
  <c r="C39" i="2"/>
  <c r="N38" i="2"/>
  <c r="M38" i="2"/>
  <c r="L38" i="2"/>
  <c r="K38" i="2"/>
  <c r="J38" i="2"/>
  <c r="I38" i="2"/>
  <c r="H38" i="2"/>
  <c r="G38" i="2"/>
  <c r="F38" i="2"/>
  <c r="E38" i="2"/>
  <c r="D38" i="2"/>
  <c r="C38" i="2"/>
  <c r="N37" i="2"/>
  <c r="M37" i="2"/>
  <c r="L37" i="2"/>
  <c r="K37" i="2"/>
  <c r="J37" i="2"/>
  <c r="I37" i="2"/>
  <c r="H37" i="2"/>
  <c r="G37" i="2"/>
  <c r="F37" i="2"/>
  <c r="E37" i="2"/>
  <c r="D37" i="2"/>
  <c r="C37" i="2"/>
  <c r="N36" i="2"/>
  <c r="M36" i="2"/>
  <c r="L36" i="2"/>
  <c r="K36" i="2"/>
  <c r="J36" i="2"/>
  <c r="I36" i="2"/>
  <c r="H36" i="2"/>
  <c r="G36" i="2"/>
  <c r="F36" i="2"/>
  <c r="E36" i="2"/>
  <c r="D36" i="2"/>
  <c r="C36" i="2"/>
  <c r="N35" i="2"/>
  <c r="M35" i="2"/>
  <c r="L35" i="2"/>
  <c r="K35" i="2"/>
  <c r="J35" i="2"/>
  <c r="I35" i="2"/>
  <c r="H35" i="2"/>
  <c r="G35" i="2"/>
  <c r="F35" i="2"/>
  <c r="E35" i="2"/>
  <c r="D35" i="2"/>
  <c r="C35" i="2"/>
  <c r="N34" i="2"/>
  <c r="M34" i="2"/>
  <c r="L34" i="2"/>
  <c r="K34" i="2"/>
  <c r="J34" i="2"/>
  <c r="I34" i="2"/>
  <c r="H34" i="2"/>
  <c r="G34" i="2"/>
  <c r="F34" i="2"/>
  <c r="E34" i="2"/>
  <c r="D34" i="2"/>
  <c r="C34" i="2"/>
  <c r="N33" i="2"/>
  <c r="M33" i="2"/>
  <c r="L33" i="2"/>
  <c r="K33" i="2"/>
  <c r="J33" i="2"/>
  <c r="I33" i="2"/>
  <c r="H33" i="2"/>
  <c r="G33" i="2"/>
  <c r="F33" i="2"/>
  <c r="E33" i="2"/>
  <c r="D33" i="2"/>
  <c r="C33" i="2"/>
  <c r="N32" i="2"/>
  <c r="M32" i="2"/>
  <c r="L32" i="2"/>
  <c r="K32" i="2"/>
  <c r="J32" i="2"/>
  <c r="I32" i="2"/>
  <c r="H32" i="2"/>
  <c r="G32" i="2"/>
  <c r="F32" i="2"/>
  <c r="E32" i="2"/>
  <c r="D32" i="2"/>
  <c r="C32" i="2"/>
  <c r="N31" i="2"/>
  <c r="M31" i="2"/>
  <c r="L31" i="2"/>
  <c r="K31" i="2"/>
  <c r="J31" i="2"/>
  <c r="I31" i="2"/>
  <c r="H31" i="2"/>
  <c r="G31" i="2"/>
  <c r="F31" i="2"/>
  <c r="E31" i="2"/>
  <c r="D31" i="2"/>
  <c r="C31" i="2"/>
  <c r="N30" i="2"/>
  <c r="M30" i="2"/>
  <c r="L30" i="2"/>
  <c r="K30" i="2"/>
  <c r="J30" i="2"/>
  <c r="I30" i="2"/>
  <c r="H30" i="2"/>
  <c r="G30" i="2"/>
  <c r="F30" i="2"/>
  <c r="E30" i="2"/>
  <c r="D30" i="2"/>
  <c r="C30" i="2"/>
  <c r="N29" i="2"/>
  <c r="M29" i="2"/>
  <c r="L29" i="2"/>
  <c r="K29" i="2"/>
  <c r="J29" i="2"/>
  <c r="I29" i="2"/>
  <c r="H29" i="2"/>
  <c r="G29" i="2"/>
  <c r="F29" i="2"/>
  <c r="E29" i="2"/>
  <c r="D29" i="2"/>
  <c r="C29" i="2"/>
  <c r="N28" i="2"/>
  <c r="M28" i="2"/>
  <c r="L28" i="2"/>
  <c r="K28" i="2"/>
  <c r="J28" i="2"/>
  <c r="I28" i="2"/>
  <c r="H28" i="2"/>
  <c r="G28" i="2"/>
  <c r="F28" i="2"/>
  <c r="E28" i="2"/>
  <c r="D28" i="2"/>
  <c r="C28" i="2"/>
  <c r="N27" i="2"/>
  <c r="M27" i="2"/>
  <c r="L27" i="2"/>
  <c r="K27" i="2"/>
  <c r="J27" i="2"/>
  <c r="I27" i="2"/>
  <c r="H27" i="2"/>
  <c r="G27" i="2"/>
  <c r="F27" i="2"/>
  <c r="E27" i="2"/>
  <c r="D27" i="2"/>
  <c r="C27" i="2"/>
  <c r="N26" i="2"/>
  <c r="M26" i="2"/>
  <c r="L26" i="2"/>
  <c r="K26" i="2"/>
  <c r="J26" i="2"/>
  <c r="I26" i="2"/>
  <c r="H26" i="2"/>
  <c r="G26" i="2"/>
  <c r="F26" i="2"/>
  <c r="E26" i="2"/>
  <c r="D26" i="2"/>
  <c r="C26" i="2"/>
  <c r="N25" i="2"/>
  <c r="M25" i="2"/>
  <c r="L25" i="2"/>
  <c r="K25" i="2"/>
  <c r="J25" i="2"/>
  <c r="I25" i="2"/>
  <c r="H25" i="2"/>
  <c r="G25" i="2"/>
  <c r="F25" i="2"/>
  <c r="E25" i="2"/>
  <c r="D25" i="2"/>
  <c r="C25" i="2"/>
  <c r="N24" i="2"/>
  <c r="M24" i="2"/>
  <c r="L24" i="2"/>
  <c r="K24" i="2"/>
  <c r="J24" i="2"/>
  <c r="I24" i="2"/>
  <c r="H24" i="2"/>
  <c r="G24" i="2"/>
  <c r="F24" i="2"/>
  <c r="E24" i="2"/>
  <c r="D24" i="2"/>
  <c r="C24" i="2"/>
  <c r="N23" i="2"/>
  <c r="M23" i="2"/>
  <c r="L23" i="2"/>
  <c r="K23" i="2"/>
  <c r="J23" i="2"/>
  <c r="I23" i="2"/>
  <c r="H23" i="2"/>
  <c r="G23" i="2"/>
  <c r="F23" i="2"/>
  <c r="E23" i="2"/>
  <c r="D23" i="2"/>
  <c r="C23" i="2"/>
  <c r="N22" i="2"/>
  <c r="M22" i="2"/>
  <c r="L22" i="2"/>
  <c r="K22" i="2"/>
  <c r="J22" i="2"/>
  <c r="I22" i="2"/>
  <c r="H22" i="2"/>
  <c r="G22" i="2"/>
  <c r="F22" i="2"/>
  <c r="E22" i="2"/>
  <c r="D22" i="2"/>
  <c r="C22" i="2"/>
  <c r="N21" i="2"/>
  <c r="M21" i="2"/>
  <c r="L21" i="2"/>
  <c r="K21" i="2"/>
  <c r="J21" i="2"/>
  <c r="I21" i="2"/>
  <c r="H21" i="2"/>
  <c r="G21" i="2"/>
  <c r="F21" i="2"/>
  <c r="E21" i="2"/>
  <c r="D21" i="2"/>
  <c r="C21" i="2"/>
  <c r="N20" i="2"/>
  <c r="M20" i="2"/>
  <c r="L20" i="2"/>
  <c r="K20" i="2"/>
  <c r="J20" i="2"/>
  <c r="I20" i="2"/>
  <c r="H20" i="2"/>
  <c r="G20" i="2"/>
  <c r="F20" i="2"/>
  <c r="E20" i="2"/>
  <c r="D20" i="2"/>
  <c r="C20" i="2"/>
  <c r="N19" i="2"/>
  <c r="M19" i="2"/>
  <c r="L19" i="2"/>
  <c r="K19" i="2"/>
  <c r="J19" i="2"/>
  <c r="I19" i="2"/>
  <c r="H19" i="2"/>
  <c r="G19" i="2"/>
  <c r="F19" i="2"/>
  <c r="E19" i="2"/>
  <c r="D19" i="2"/>
  <c r="C19" i="2"/>
  <c r="N18" i="2"/>
  <c r="M18" i="2"/>
  <c r="L18" i="2"/>
  <c r="K18" i="2"/>
  <c r="J18" i="2"/>
  <c r="I18" i="2"/>
  <c r="H18" i="2"/>
  <c r="G18" i="2"/>
  <c r="F18" i="2"/>
  <c r="E18" i="2"/>
  <c r="D18" i="2"/>
  <c r="C18" i="2"/>
  <c r="N17" i="2"/>
  <c r="M17" i="2"/>
  <c r="L17" i="2"/>
  <c r="K17" i="2"/>
  <c r="J17" i="2"/>
  <c r="I17" i="2"/>
  <c r="H17" i="2"/>
  <c r="G17" i="2"/>
  <c r="F17" i="2"/>
  <c r="E17" i="2"/>
  <c r="D17" i="2"/>
  <c r="C17" i="2"/>
  <c r="N16" i="2"/>
  <c r="M16" i="2"/>
  <c r="L16" i="2"/>
  <c r="K16" i="2"/>
  <c r="J16" i="2"/>
  <c r="I16" i="2"/>
  <c r="H16" i="2"/>
  <c r="G16" i="2"/>
  <c r="F16" i="2"/>
  <c r="E16" i="2"/>
  <c r="D16" i="2"/>
  <c r="C16" i="2"/>
  <c r="N15" i="2"/>
  <c r="M15" i="2"/>
  <c r="L15" i="2"/>
  <c r="K15" i="2"/>
  <c r="J15" i="2"/>
  <c r="I15" i="2"/>
  <c r="H15" i="2"/>
  <c r="G15" i="2"/>
  <c r="F15" i="2"/>
  <c r="E15" i="2"/>
  <c r="D15" i="2"/>
  <c r="C15" i="2"/>
  <c r="N14" i="2"/>
  <c r="M14" i="2"/>
  <c r="L14" i="2"/>
  <c r="K14" i="2"/>
  <c r="J14" i="2"/>
  <c r="I14" i="2"/>
  <c r="H14" i="2"/>
  <c r="G14" i="2"/>
  <c r="F14" i="2"/>
  <c r="E14" i="2"/>
  <c r="D14" i="2"/>
  <c r="C14" i="2"/>
  <c r="N13" i="2"/>
  <c r="M13" i="2"/>
  <c r="L13" i="2"/>
  <c r="K13" i="2"/>
  <c r="J13" i="2"/>
  <c r="I13" i="2"/>
  <c r="H13" i="2"/>
  <c r="G13" i="2"/>
  <c r="F13" i="2"/>
  <c r="E13" i="2"/>
  <c r="D13" i="2"/>
  <c r="C13" i="2"/>
  <c r="N12" i="2"/>
  <c r="M12" i="2"/>
  <c r="L12" i="2"/>
  <c r="K12" i="2"/>
  <c r="J12" i="2"/>
  <c r="I12" i="2"/>
  <c r="H12" i="2"/>
  <c r="G12" i="2"/>
  <c r="F12" i="2"/>
  <c r="E12" i="2"/>
  <c r="D12" i="2"/>
  <c r="C12" i="2"/>
  <c r="N11" i="2"/>
  <c r="M11" i="2"/>
  <c r="L11" i="2"/>
  <c r="K11" i="2"/>
  <c r="J11" i="2"/>
  <c r="I11" i="2"/>
  <c r="H11" i="2"/>
  <c r="G11" i="2"/>
  <c r="F11" i="2"/>
  <c r="E11" i="2"/>
  <c r="D11" i="2"/>
  <c r="C11" i="2"/>
  <c r="N10" i="2"/>
  <c r="M10" i="2"/>
  <c r="L10" i="2"/>
  <c r="K10" i="2"/>
  <c r="J10" i="2"/>
  <c r="I10" i="2"/>
  <c r="H10" i="2"/>
  <c r="G10" i="2"/>
  <c r="F10" i="2"/>
  <c r="E10" i="2"/>
  <c r="D10" i="2"/>
  <c r="C10" i="2"/>
  <c r="N9" i="2"/>
  <c r="M9" i="2"/>
  <c r="L9" i="2"/>
  <c r="K9" i="2"/>
  <c r="J9" i="2"/>
  <c r="I9" i="2"/>
  <c r="H9" i="2"/>
  <c r="G9" i="2"/>
  <c r="F9" i="2"/>
  <c r="E9" i="2"/>
  <c r="D9" i="2"/>
  <c r="C9" i="2"/>
  <c r="N8" i="2"/>
  <c r="M8" i="2"/>
  <c r="L8" i="2"/>
  <c r="K8" i="2"/>
  <c r="J8" i="2"/>
  <c r="I8" i="2"/>
  <c r="H8" i="2"/>
  <c r="G8" i="2"/>
  <c r="F8" i="2"/>
  <c r="E8" i="2"/>
  <c r="D8" i="2"/>
  <c r="C8" i="2"/>
  <c r="N7" i="2"/>
  <c r="M7" i="2"/>
  <c r="L7" i="2"/>
  <c r="K7" i="2"/>
  <c r="J7" i="2"/>
  <c r="I7" i="2"/>
  <c r="H7" i="2"/>
  <c r="G7" i="2"/>
  <c r="F7" i="2"/>
  <c r="E7" i="2"/>
  <c r="D7" i="2"/>
  <c r="C7" i="2"/>
  <c r="N6" i="2"/>
  <c r="M6" i="2"/>
  <c r="L6" i="2"/>
  <c r="K6" i="2"/>
  <c r="J6" i="2"/>
  <c r="I6" i="2"/>
  <c r="H6" i="2"/>
  <c r="G6" i="2"/>
  <c r="F6" i="2"/>
  <c r="E6" i="2"/>
  <c r="D6" i="2"/>
  <c r="C6" i="2"/>
  <c r="N5" i="2"/>
  <c r="M5" i="2"/>
  <c r="L5" i="2"/>
  <c r="K5" i="2"/>
  <c r="J5" i="2"/>
  <c r="I5" i="2"/>
  <c r="H5" i="2"/>
  <c r="G5" i="2"/>
  <c r="F5" i="2"/>
  <c r="E5" i="2"/>
  <c r="D5" i="2"/>
  <c r="C5" i="2"/>
  <c r="N4" i="2"/>
  <c r="M4" i="2"/>
  <c r="L4" i="2"/>
  <c r="K4" i="2"/>
  <c r="J4" i="2"/>
  <c r="I4" i="2"/>
  <c r="H4" i="2"/>
  <c r="G4" i="2"/>
  <c r="F4" i="2"/>
  <c r="E4" i="2"/>
  <c r="D4" i="2"/>
  <c r="C4" i="2"/>
  <c r="N3" i="2"/>
  <c r="M3" i="2"/>
  <c r="L3" i="2"/>
  <c r="K3" i="2"/>
  <c r="J3" i="2"/>
  <c r="I3" i="2"/>
  <c r="H3" i="2"/>
  <c r="G3" i="2"/>
  <c r="F3" i="2"/>
  <c r="E3" i="2"/>
  <c r="D3" i="2"/>
  <c r="C3" i="2"/>
  <c r="N2" i="2"/>
  <c r="M2" i="2"/>
  <c r="L2" i="2"/>
  <c r="K2" i="2"/>
  <c r="J2" i="2"/>
  <c r="I2" i="2"/>
  <c r="H2" i="2"/>
  <c r="G2" i="2"/>
  <c r="F2" i="2"/>
  <c r="E2" i="2"/>
  <c r="D2" i="2"/>
  <c r="C2" i="2"/>
  <c r="AB101" i="1"/>
  <c r="AB100" i="1"/>
  <c r="AB99" i="1"/>
  <c r="AB98" i="1"/>
  <c r="AB97" i="1"/>
  <c r="AB96" i="1"/>
  <c r="AB95" i="1"/>
  <c r="AB94" i="1"/>
  <c r="AB93" i="1"/>
  <c r="AB91" i="1"/>
  <c r="AB89" i="1"/>
  <c r="AB88" i="1"/>
  <c r="AB87" i="1"/>
  <c r="AB86" i="1"/>
  <c r="AB85" i="1"/>
  <c r="AB83" i="1"/>
  <c r="AB82" i="1"/>
  <c r="AB81" i="1"/>
  <c r="AB80" i="1"/>
  <c r="AB79" i="1"/>
  <c r="AB78" i="1"/>
  <c r="AB77" i="1"/>
  <c r="AB76" i="1"/>
  <c r="AB75" i="1"/>
  <c r="AB74" i="1"/>
  <c r="AB72" i="1"/>
  <c r="AB71" i="1"/>
  <c r="AB70" i="1"/>
  <c r="AB69" i="1"/>
  <c r="AB68" i="1"/>
  <c r="AB67" i="1"/>
  <c r="AB66" i="1"/>
  <c r="AB65" i="1"/>
  <c r="AB64" i="1"/>
  <c r="AB63" i="1"/>
  <c r="AB61" i="1"/>
  <c r="AB60" i="1"/>
  <c r="AB59" i="1"/>
  <c r="AB58" i="1"/>
  <c r="AB57" i="1"/>
  <c r="AB56" i="1"/>
  <c r="AB55" i="1"/>
  <c r="AB54" i="1"/>
  <c r="AB53" i="1"/>
  <c r="AB52" i="1"/>
  <c r="AB51" i="1"/>
  <c r="AB50" i="1"/>
  <c r="AB49" i="1"/>
  <c r="AB48" i="1"/>
  <c r="AB47" i="1"/>
  <c r="AB46" i="1"/>
  <c r="AB45" i="1"/>
  <c r="AB44" i="1"/>
  <c r="AB43" i="1"/>
  <c r="AB42" i="1"/>
  <c r="AB40" i="1"/>
  <c r="AB39" i="1"/>
  <c r="AB37" i="1"/>
  <c r="AB36" i="1"/>
  <c r="AB35" i="1"/>
  <c r="AB34" i="1"/>
  <c r="AB33" i="1"/>
  <c r="AB32" i="1"/>
  <c r="AB31" i="1"/>
  <c r="AB30" i="1"/>
  <c r="AB29" i="1"/>
  <c r="AB27" i="1"/>
  <c r="AB26" i="1"/>
  <c r="AB25" i="1"/>
  <c r="AB24" i="1"/>
  <c r="AB23" i="1"/>
  <c r="AB22" i="1"/>
  <c r="AB21" i="1"/>
  <c r="AB20" i="1"/>
  <c r="AB19" i="1"/>
  <c r="AB18" i="1"/>
  <c r="AB17" i="1"/>
  <c r="AB15" i="1"/>
  <c r="AB14" i="1"/>
  <c r="AB13" i="1"/>
  <c r="AB12" i="1"/>
  <c r="AB11" i="1"/>
  <c r="AB10" i="1"/>
  <c r="AB9" i="1"/>
  <c r="AB8" i="1"/>
  <c r="AB7" i="1"/>
  <c r="AB6" i="1"/>
  <c r="AB5" i="1"/>
  <c r="AB3" i="1"/>
  <c r="AB2" i="1"/>
  <c r="G33" i="8"/>
  <c r="D1" i="15"/>
  <c r="F13" i="13"/>
  <c r="H3" i="13"/>
  <c r="H5" i="13"/>
  <c r="H7" i="13"/>
  <c r="H9" i="13"/>
  <c r="H11" i="13"/>
  <c r="H13" i="13"/>
  <c r="H4" i="13"/>
  <c r="H6" i="13"/>
  <c r="H8" i="13"/>
  <c r="H10" i="13"/>
  <c r="H12" i="13"/>
  <c r="F3" i="13"/>
  <c r="F4" i="13"/>
  <c r="F5" i="13"/>
  <c r="F6" i="13"/>
  <c r="F7" i="13"/>
  <c r="F8" i="13"/>
  <c r="F9" i="13"/>
  <c r="F10" i="13"/>
  <c r="F11" i="13"/>
  <c r="F12" i="13"/>
  <c r="E15" i="13"/>
  <c r="F2" i="13"/>
  <c r="G15" i="13"/>
  <c r="H2" i="13"/>
  <c r="H15" i="13"/>
  <c r="F15" i="13"/>
  <c r="B9" i="9" l="1"/>
  <c r="B15" i="18" s="1"/>
  <c r="B2" i="9"/>
  <c r="B8" i="18" s="1"/>
  <c r="B10" i="9"/>
  <c r="B16" i="18" s="1"/>
  <c r="B3" i="9"/>
  <c r="B9" i="18" s="1"/>
  <c r="B11" i="9"/>
  <c r="B17" i="18" s="1"/>
  <c r="B4" i="9"/>
  <c r="B10" i="18" s="1"/>
  <c r="B12" i="9"/>
  <c r="B18" i="18" s="1"/>
  <c r="I15" i="13"/>
  <c r="B5" i="9"/>
  <c r="B11" i="18" s="1"/>
  <c r="B13" i="9"/>
  <c r="B19" i="18" s="1"/>
  <c r="B6" i="9"/>
  <c r="B12" i="18" s="1"/>
  <c r="B7" i="9"/>
  <c r="B13" i="18" s="1"/>
  <c r="D15" i="20"/>
  <c r="D7" i="15"/>
  <c r="D10" i="15"/>
  <c r="D18" i="15"/>
  <c r="D12" i="13"/>
  <c r="D8" i="13"/>
  <c r="D4" i="13"/>
  <c r="D3" i="13"/>
  <c r="D2" i="13"/>
  <c r="D11" i="13"/>
  <c r="D7" i="13"/>
  <c r="D13" i="13"/>
  <c r="D9" i="13"/>
  <c r="D5" i="13"/>
  <c r="D10" i="13"/>
  <c r="D6" i="13"/>
  <c r="U2" i="9"/>
  <c r="N2" i="24" s="1"/>
  <c r="M13" i="24"/>
  <c r="M11" i="24"/>
  <c r="M9" i="24"/>
  <c r="M7" i="24"/>
  <c r="M5" i="24"/>
  <c r="M3" i="24"/>
  <c r="M12" i="24"/>
  <c r="M10" i="24"/>
  <c r="M8" i="24"/>
  <c r="M6" i="24"/>
  <c r="M4" i="24"/>
  <c r="M2" i="24"/>
  <c r="D11" i="15"/>
  <c r="G15" i="9"/>
  <c r="D16" i="20"/>
  <c r="D12" i="20"/>
  <c r="D15" i="15"/>
  <c r="D9" i="15"/>
  <c r="D13" i="15"/>
  <c r="D17" i="15"/>
  <c r="C12" i="18"/>
  <c r="C21" i="18" s="1"/>
  <c r="B15" i="13"/>
  <c r="D9" i="20"/>
  <c r="D13" i="20"/>
  <c r="D17" i="20"/>
  <c r="L13" i="8"/>
  <c r="I15" i="8" s="1"/>
  <c r="I16" i="8" s="1"/>
  <c r="R331" i="10"/>
  <c r="N237" i="10"/>
  <c r="T355" i="10"/>
  <c r="S347" i="10"/>
  <c r="S287" i="10"/>
  <c r="S313" i="10"/>
  <c r="T363" i="10"/>
  <c r="M361" i="10"/>
  <c r="M354" i="10"/>
  <c r="M333" i="10"/>
  <c r="O280" i="10"/>
  <c r="M336" i="10"/>
  <c r="N326" i="10"/>
  <c r="M308" i="10"/>
  <c r="N255" i="10"/>
  <c r="P245" i="10"/>
  <c r="P292" i="10"/>
  <c r="C23" i="10"/>
  <c r="Z226" i="10" s="1"/>
  <c r="T336" i="10"/>
  <c r="N347" i="10"/>
  <c r="N319" i="10"/>
  <c r="N340" i="10"/>
  <c r="M315" i="10"/>
  <c r="O304" i="10"/>
  <c r="P267" i="10"/>
  <c r="O213" i="10"/>
  <c r="U234" i="10"/>
  <c r="R318" i="10"/>
  <c r="C27" i="15"/>
  <c r="D2" i="15"/>
  <c r="S366" i="10"/>
  <c r="T361" i="10"/>
  <c r="T353" i="10"/>
  <c r="T344" i="10"/>
  <c r="S326" i="10"/>
  <c r="R309" i="10"/>
  <c r="R166" i="10"/>
  <c r="T359" i="10"/>
  <c r="T351" i="10"/>
  <c r="U341" i="10"/>
  <c r="R322" i="10"/>
  <c r="R300" i="10"/>
  <c r="S261" i="10"/>
  <c r="S212" i="10"/>
  <c r="T365" i="10"/>
  <c r="T357" i="10"/>
  <c r="T349" i="10"/>
  <c r="S339" i="10"/>
  <c r="M171" i="10"/>
  <c r="S439" i="10"/>
  <c r="S74" i="10" s="1"/>
  <c r="P218" i="10"/>
  <c r="T364" i="10"/>
  <c r="T360" i="10"/>
  <c r="T356" i="10"/>
  <c r="T352" i="10"/>
  <c r="T348" i="10"/>
  <c r="S343" i="10"/>
  <c r="U337" i="10"/>
  <c r="N356" i="10"/>
  <c r="M345" i="10"/>
  <c r="S333" i="10"/>
  <c r="R324" i="10"/>
  <c r="S315" i="10"/>
  <c r="R307" i="10"/>
  <c r="M331" i="10"/>
  <c r="M317" i="10"/>
  <c r="S303" i="10"/>
  <c r="S280" i="10"/>
  <c r="P300" i="10"/>
  <c r="R270" i="10"/>
  <c r="P260" i="10"/>
  <c r="R213" i="10"/>
  <c r="N228" i="10"/>
  <c r="R192" i="10"/>
  <c r="S479" i="10"/>
  <c r="S114" i="10" s="1"/>
  <c r="T362" i="10"/>
  <c r="T358" i="10"/>
  <c r="T354" i="10"/>
  <c r="T350" i="10"/>
  <c r="U345" i="10"/>
  <c r="T340" i="10"/>
  <c r="N363" i="10"/>
  <c r="M352" i="10"/>
  <c r="M338" i="10"/>
  <c r="R328" i="10"/>
  <c r="T319" i="10"/>
  <c r="S311" i="10"/>
  <c r="N335" i="10"/>
  <c r="M324" i="10"/>
  <c r="N310" i="10"/>
  <c r="N286" i="10"/>
  <c r="U248" i="10"/>
  <c r="O274" i="10"/>
  <c r="O250" i="10"/>
  <c r="S222" i="10"/>
  <c r="P242" i="10"/>
  <c r="C28" i="20"/>
  <c r="R364" i="10"/>
  <c r="R362" i="10"/>
  <c r="R360" i="10"/>
  <c r="R358" i="10"/>
  <c r="R356" i="10"/>
  <c r="R354" i="10"/>
  <c r="R352" i="10"/>
  <c r="R350" i="10"/>
  <c r="U347" i="10"/>
  <c r="S345" i="10"/>
  <c r="T342" i="10"/>
  <c r="U339" i="10"/>
  <c r="S337" i="10"/>
  <c r="M362" i="10"/>
  <c r="N355" i="10"/>
  <c r="N348" i="10"/>
  <c r="M344" i="10"/>
  <c r="M337" i="10"/>
  <c r="R332" i="10"/>
  <c r="S327" i="10"/>
  <c r="R323" i="10"/>
  <c r="T318" i="10"/>
  <c r="T314" i="10"/>
  <c r="S310" i="10"/>
  <c r="R306" i="10"/>
  <c r="M332" i="10"/>
  <c r="M325" i="10"/>
  <c r="N318" i="10"/>
  <c r="N311" i="10"/>
  <c r="M307" i="10"/>
  <c r="U302" i="10"/>
  <c r="S298" i="10"/>
  <c r="S293" i="10"/>
  <c r="S285" i="10"/>
  <c r="S278" i="10"/>
  <c r="N302" i="10"/>
  <c r="P290" i="10"/>
  <c r="P275" i="10"/>
  <c r="S268" i="10"/>
  <c r="S258" i="10"/>
  <c r="S245" i="10"/>
  <c r="N263" i="10"/>
  <c r="P252" i="10"/>
  <c r="S232" i="10"/>
  <c r="U218" i="10"/>
  <c r="M240" i="10"/>
  <c r="P220" i="10"/>
  <c r="U206" i="10"/>
  <c r="R189" i="10"/>
  <c r="M209" i="10"/>
  <c r="R158" i="10"/>
  <c r="S142" i="10"/>
  <c r="S305" i="10"/>
  <c r="U301" i="10"/>
  <c r="R297" i="10"/>
  <c r="S291" i="10"/>
  <c r="S283" i="10"/>
  <c r="R277" i="10"/>
  <c r="R274" i="10"/>
  <c r="S266" i="10"/>
  <c r="S255" i="10"/>
  <c r="S241" i="10"/>
  <c r="S228" i="10"/>
  <c r="R215" i="10"/>
  <c r="R200" i="10"/>
  <c r="S184" i="10"/>
  <c r="M366" i="10"/>
  <c r="R365" i="10"/>
  <c r="R363" i="10"/>
  <c r="R361" i="10"/>
  <c r="R359" i="10"/>
  <c r="R357" i="10"/>
  <c r="R355" i="10"/>
  <c r="R353" i="10"/>
  <c r="R351" i="10"/>
  <c r="R349" i="10"/>
  <c r="T346" i="10"/>
  <c r="U343" i="10"/>
  <c r="S341" i="10"/>
  <c r="T338" i="10"/>
  <c r="N364" i="10"/>
  <c r="M360" i="10"/>
  <c r="M353" i="10"/>
  <c r="M346" i="10"/>
  <c r="N339" i="10"/>
  <c r="R335" i="10"/>
  <c r="S329" i="10"/>
  <c r="R325" i="10"/>
  <c r="R321" i="10"/>
  <c r="S316" i="10"/>
  <c r="R312" i="10"/>
  <c r="R308" i="10"/>
  <c r="N334" i="10"/>
  <c r="N327" i="10"/>
  <c r="M323" i="10"/>
  <c r="M316" i="10"/>
  <c r="M309" i="10"/>
  <c r="S304" i="10"/>
  <c r="T300" i="10"/>
  <c r="R296" i="10"/>
  <c r="S289" i="10"/>
  <c r="R282" i="10"/>
  <c r="S275" i="10"/>
  <c r="O297" i="10"/>
  <c r="P282" i="10"/>
  <c r="R272" i="10"/>
  <c r="U264" i="10"/>
  <c r="T251" i="10"/>
  <c r="N271" i="10"/>
  <c r="O257" i="10"/>
  <c r="N247" i="10"/>
  <c r="S238" i="10"/>
  <c r="S225" i="10"/>
  <c r="O230" i="10"/>
  <c r="S194" i="10"/>
  <c r="T178" i="10"/>
  <c r="S372" i="10"/>
  <c r="S7" i="10" s="1"/>
  <c r="S445" i="10"/>
  <c r="S80" i="10" s="1"/>
  <c r="S472" i="10"/>
  <c r="S107" i="10" s="1"/>
  <c r="U129" i="10"/>
  <c r="S146" i="10"/>
  <c r="S159" i="10"/>
  <c r="R170" i="10"/>
  <c r="R180" i="10"/>
  <c r="S185" i="10"/>
  <c r="S189" i="10"/>
  <c r="U192" i="10"/>
  <c r="U194" i="10"/>
  <c r="R201" i="10"/>
  <c r="S208" i="10"/>
  <c r="S213" i="10"/>
  <c r="U216" i="10"/>
  <c r="S219" i="10"/>
  <c r="S223" i="10"/>
  <c r="S226" i="10"/>
  <c r="S229" i="10"/>
  <c r="T232" i="10"/>
  <c r="S235" i="10"/>
  <c r="S239" i="10"/>
  <c r="S242" i="10"/>
  <c r="S244" i="10"/>
  <c r="S248" i="10"/>
  <c r="S251" i="10"/>
  <c r="S254" i="10"/>
  <c r="S257" i="10"/>
  <c r="S260" i="10"/>
  <c r="S264" i="10"/>
  <c r="R266" i="10"/>
  <c r="R268" i="10"/>
  <c r="T269" i="10"/>
  <c r="S271" i="10"/>
  <c r="S273" i="10"/>
  <c r="R276" i="10"/>
  <c r="S277" i="10"/>
  <c r="R279" i="10"/>
  <c r="R281" i="10"/>
  <c r="S282" i="10"/>
  <c r="R284" i="10"/>
  <c r="R286" i="10"/>
  <c r="R288" i="10"/>
  <c r="R290" i="10"/>
  <c r="R292" i="10"/>
  <c r="R294" i="10"/>
  <c r="S295" i="10"/>
  <c r="S297" i="10"/>
  <c r="S299" i="10"/>
  <c r="R301" i="10"/>
  <c r="S302" i="10"/>
  <c r="U303" i="10"/>
  <c r="R305" i="10"/>
  <c r="S306" i="10"/>
  <c r="T307" i="10"/>
  <c r="S309" i="10"/>
  <c r="R311" i="10"/>
  <c r="S312" i="10"/>
  <c r="S314" i="10"/>
  <c r="T315" i="10"/>
  <c r="S317" i="10"/>
  <c r="R319" i="10"/>
  <c r="S320" i="10"/>
  <c r="S322" i="10"/>
  <c r="T323" i="10"/>
  <c r="S325" i="10"/>
  <c r="R327" i="10"/>
  <c r="S328" i="10"/>
  <c r="S330" i="10"/>
  <c r="S332" i="10"/>
  <c r="S334" i="10"/>
  <c r="R336" i="10"/>
  <c r="R337" i="10"/>
  <c r="R338" i="10"/>
  <c r="R339" i="10"/>
  <c r="R340" i="10"/>
  <c r="R341" i="10"/>
  <c r="R342" i="10"/>
  <c r="R343" i="10"/>
  <c r="R344" i="10"/>
  <c r="R345" i="10"/>
  <c r="R346" i="10"/>
  <c r="R347" i="10"/>
  <c r="R348" i="10"/>
  <c r="U433" i="10"/>
  <c r="U68" i="10" s="1"/>
  <c r="R139" i="10"/>
  <c r="S155" i="10"/>
  <c r="S163" i="10"/>
  <c r="R173" i="10"/>
  <c r="R182" i="10"/>
  <c r="S187" i="10"/>
  <c r="S191" i="10"/>
  <c r="R194" i="10"/>
  <c r="R198" i="10"/>
  <c r="S205" i="10"/>
  <c r="S210" i="10"/>
  <c r="R214" i="10"/>
  <c r="S218" i="10"/>
  <c r="S221" i="10"/>
  <c r="T224" i="10"/>
  <c r="S227" i="10"/>
  <c r="S231" i="10"/>
  <c r="S234" i="10"/>
  <c r="S237" i="10"/>
  <c r="T240" i="10"/>
  <c r="S243" i="10"/>
  <c r="R244" i="10"/>
  <c r="S246" i="10"/>
  <c r="S249" i="10"/>
  <c r="S252" i="10"/>
  <c r="S256" i="10"/>
  <c r="S259" i="10"/>
  <c r="S262" i="10"/>
  <c r="R265" i="10"/>
  <c r="R267" i="10"/>
  <c r="R269" i="10"/>
  <c r="S270" i="10"/>
  <c r="S272" i="10"/>
  <c r="S274" i="10"/>
  <c r="R275" i="10"/>
  <c r="T276" i="10"/>
  <c r="R278" i="10"/>
  <c r="R280" i="10"/>
  <c r="U281" i="10"/>
  <c r="R283" i="10"/>
  <c r="R285" i="10"/>
  <c r="R287" i="10"/>
  <c r="R289" i="10"/>
  <c r="R291" i="10"/>
  <c r="R293" i="10"/>
  <c r="U366" i="10"/>
  <c r="S365" i="10"/>
  <c r="S364" i="10"/>
  <c r="S363" i="10"/>
  <c r="S362" i="10"/>
  <c r="S361" i="10"/>
  <c r="S360" i="10"/>
  <c r="S359" i="10"/>
  <c r="S358" i="10"/>
  <c r="S357" i="10"/>
  <c r="S356" i="10"/>
  <c r="S355" i="10"/>
  <c r="S354" i="10"/>
  <c r="S353" i="10"/>
  <c r="S352" i="10"/>
  <c r="S351" i="10"/>
  <c r="S350" i="10"/>
  <c r="S349" i="10"/>
  <c r="S348" i="10"/>
  <c r="U346" i="10"/>
  <c r="T345" i="10"/>
  <c r="S344" i="10"/>
  <c r="U342" i="10"/>
  <c r="T341" i="10"/>
  <c r="S340" i="10"/>
  <c r="U338" i="10"/>
  <c r="T337" i="10"/>
  <c r="S336" i="10"/>
  <c r="R334" i="10"/>
  <c r="S331" i="10"/>
  <c r="R329" i="10"/>
  <c r="T326" i="10"/>
  <c r="S324" i="10"/>
  <c r="T322" i="10"/>
  <c r="R320" i="10"/>
  <c r="S318" i="10"/>
  <c r="R316" i="10"/>
  <c r="R314" i="10"/>
  <c r="T311" i="10"/>
  <c r="R310" i="10"/>
  <c r="S307" i="10"/>
  <c r="U305" i="10"/>
  <c r="R304" i="10"/>
  <c r="R302" i="10"/>
  <c r="S300" i="10"/>
  <c r="R298" i="10"/>
  <c r="R295" i="10"/>
  <c r="S292" i="10"/>
  <c r="S288" i="10"/>
  <c r="S284" i="10"/>
  <c r="S281" i="10"/>
  <c r="T277" i="10"/>
  <c r="R273" i="10"/>
  <c r="S269" i="10"/>
  <c r="S265" i="10"/>
  <c r="T259" i="10"/>
  <c r="S253" i="10"/>
  <c r="S247" i="10"/>
  <c r="S240" i="10"/>
  <c r="S233" i="10"/>
  <c r="U226" i="10"/>
  <c r="S220" i="10"/>
  <c r="R202" i="10"/>
  <c r="R193" i="10"/>
  <c r="S186" i="10"/>
  <c r="R171" i="10"/>
  <c r="S154" i="10"/>
  <c r="R150" i="10"/>
  <c r="S424" i="10"/>
  <c r="S59" i="10" s="1"/>
  <c r="R366" i="10"/>
  <c r="U365" i="10"/>
  <c r="U364" i="10"/>
  <c r="U363" i="10"/>
  <c r="U362" i="10"/>
  <c r="U361" i="10"/>
  <c r="U360" i="10"/>
  <c r="U359" i="10"/>
  <c r="U358" i="10"/>
  <c r="U357" i="10"/>
  <c r="U356" i="10"/>
  <c r="U355" i="10"/>
  <c r="U354" i="10"/>
  <c r="U353" i="10"/>
  <c r="U352" i="10"/>
  <c r="U351" i="10"/>
  <c r="U350" i="10"/>
  <c r="U349" i="10"/>
  <c r="U348" i="10"/>
  <c r="T347" i="10"/>
  <c r="S346" i="10"/>
  <c r="U344" i="10"/>
  <c r="T343" i="10"/>
  <c r="S342" i="10"/>
  <c r="U340" i="10"/>
  <c r="T339" i="10"/>
  <c r="S338" i="10"/>
  <c r="U336" i="10"/>
  <c r="S335" i="10"/>
  <c r="R333" i="10"/>
  <c r="R330" i="10"/>
  <c r="T327" i="10"/>
  <c r="R326" i="10"/>
  <c r="S323" i="10"/>
  <c r="S321" i="10"/>
  <c r="S319" i="10"/>
  <c r="R317" i="10"/>
  <c r="R315" i="10"/>
  <c r="R313" i="10"/>
  <c r="T310" i="10"/>
  <c r="S308" i="10"/>
  <c r="T306" i="10"/>
  <c r="U304" i="10"/>
  <c r="R303" i="10"/>
  <c r="S301" i="10"/>
  <c r="R299" i="10"/>
  <c r="S296" i="10"/>
  <c r="S294" i="10"/>
  <c r="S290" i="10"/>
  <c r="S286" i="10"/>
  <c r="U282" i="10"/>
  <c r="S279" i="10"/>
  <c r="S276" i="10"/>
  <c r="R271" i="10"/>
  <c r="S267" i="10"/>
  <c r="S263" i="10"/>
  <c r="U256" i="10"/>
  <c r="S250" i="10"/>
  <c r="U242" i="10"/>
  <c r="S236" i="10"/>
  <c r="S230" i="10"/>
  <c r="S224" i="10"/>
  <c r="S217" i="10"/>
  <c r="S209" i="10"/>
  <c r="R196" i="10"/>
  <c r="S190" i="10"/>
  <c r="R181" i="10"/>
  <c r="T160" i="10"/>
  <c r="R137" i="10"/>
  <c r="S466" i="10"/>
  <c r="S101" i="10" s="1"/>
  <c r="U126" i="10"/>
  <c r="O358" i="10"/>
  <c r="O342" i="10"/>
  <c r="O321" i="10"/>
  <c r="O296" i="10"/>
  <c r="O288" i="10"/>
  <c r="O281" i="10"/>
  <c r="O273" i="10"/>
  <c r="O266" i="10"/>
  <c r="O258" i="10"/>
  <c r="P251" i="10"/>
  <c r="P244" i="10"/>
  <c r="O350" i="10"/>
  <c r="O329" i="10"/>
  <c r="O313" i="10"/>
  <c r="P298" i="10"/>
  <c r="P291" i="10"/>
  <c r="P284" i="10"/>
  <c r="P276" i="10"/>
  <c r="P268" i="10"/>
  <c r="P261" i="10"/>
  <c r="O232" i="10"/>
  <c r="X189" i="10"/>
  <c r="T324" i="10"/>
  <c r="T320" i="10"/>
  <c r="T316" i="10"/>
  <c r="T312" i="10"/>
  <c r="T308" i="10"/>
  <c r="T305" i="10"/>
  <c r="T304" i="10"/>
  <c r="T303" i="10"/>
  <c r="T302" i="10"/>
  <c r="T301" i="10"/>
  <c r="U289" i="10"/>
  <c r="T272" i="10"/>
  <c r="T263" i="10"/>
  <c r="U260" i="10"/>
  <c r="T255" i="10"/>
  <c r="U252" i="10"/>
  <c r="T247" i="10"/>
  <c r="U244" i="10"/>
  <c r="T236" i="10"/>
  <c r="T228" i="10"/>
  <c r="T220" i="10"/>
  <c r="T214" i="10"/>
  <c r="T177" i="10"/>
  <c r="T483" i="10"/>
  <c r="T118" i="10" s="1"/>
  <c r="U131" i="10"/>
  <c r="U174" i="10"/>
  <c r="U186" i="10"/>
  <c r="T198" i="10"/>
  <c r="T203" i="10"/>
  <c r="T205" i="10"/>
  <c r="T210" i="10"/>
  <c r="U212" i="10"/>
  <c r="T215" i="10"/>
  <c r="T219" i="10"/>
  <c r="U220" i="10"/>
  <c r="T223" i="10"/>
  <c r="U224" i="10"/>
  <c r="T227" i="10"/>
  <c r="U228" i="10"/>
  <c r="T231" i="10"/>
  <c r="U232" i="10"/>
  <c r="T235" i="10"/>
  <c r="U236" i="10"/>
  <c r="T239" i="10"/>
  <c r="U240" i="10"/>
  <c r="T243" i="10"/>
  <c r="T246" i="10"/>
  <c r="U247" i="10"/>
  <c r="T250" i="10"/>
  <c r="U251" i="10"/>
  <c r="T254" i="10"/>
  <c r="U255" i="10"/>
  <c r="T258" i="10"/>
  <c r="U259" i="10"/>
  <c r="T262" i="10"/>
  <c r="U263" i="10"/>
  <c r="T267" i="10"/>
  <c r="T271" i="10"/>
  <c r="T275" i="10"/>
  <c r="T279" i="10"/>
  <c r="U280" i="10"/>
  <c r="U284" i="10"/>
  <c r="U288" i="10"/>
  <c r="U292" i="10"/>
  <c r="U299" i="10"/>
  <c r="U300" i="10"/>
  <c r="T164" i="10"/>
  <c r="U176" i="10"/>
  <c r="U196" i="10"/>
  <c r="T199" i="10"/>
  <c r="T201" i="10"/>
  <c r="U203" i="10"/>
  <c r="T206" i="10"/>
  <c r="U208" i="10"/>
  <c r="U210" i="10"/>
  <c r="U215" i="10"/>
  <c r="T218" i="10"/>
  <c r="U219" i="10"/>
  <c r="T222" i="10"/>
  <c r="U223" i="10"/>
  <c r="T226" i="10"/>
  <c r="U227" i="10"/>
  <c r="T230" i="10"/>
  <c r="U231" i="10"/>
  <c r="T234" i="10"/>
  <c r="U235" i="10"/>
  <c r="T238" i="10"/>
  <c r="U239" i="10"/>
  <c r="T242" i="10"/>
  <c r="U243" i="10"/>
  <c r="T245" i="10"/>
  <c r="U246" i="10"/>
  <c r="T249" i="10"/>
  <c r="U250" i="10"/>
  <c r="T253" i="10"/>
  <c r="U254" i="10"/>
  <c r="T257" i="10"/>
  <c r="U258" i="10"/>
  <c r="T261" i="10"/>
  <c r="U262" i="10"/>
  <c r="T266" i="10"/>
  <c r="T270" i="10"/>
  <c r="T274" i="10"/>
  <c r="T278" i="10"/>
  <c r="U283" i="10"/>
  <c r="U287" i="10"/>
  <c r="U291" i="10"/>
  <c r="T183" i="10"/>
  <c r="T185" i="10"/>
  <c r="T188" i="10"/>
  <c r="T190" i="10"/>
  <c r="U195" i="10"/>
  <c r="U199" i="10"/>
  <c r="U202" i="10"/>
  <c r="T207" i="10"/>
  <c r="U211" i="10"/>
  <c r="T217" i="10"/>
  <c r="T221" i="10"/>
  <c r="T225" i="10"/>
  <c r="T229" i="10"/>
  <c r="T233" i="10"/>
  <c r="T237" i="10"/>
  <c r="T241" i="10"/>
  <c r="U245" i="10"/>
  <c r="U249" i="10"/>
  <c r="U253" i="10"/>
  <c r="U257" i="10"/>
  <c r="U261" i="10"/>
  <c r="T268" i="10"/>
  <c r="U286" i="10"/>
  <c r="T295" i="10"/>
  <c r="T296" i="10"/>
  <c r="T297" i="10"/>
  <c r="T298" i="10"/>
  <c r="T299" i="10"/>
  <c r="U306" i="10"/>
  <c r="U307" i="10"/>
  <c r="U308" i="10"/>
  <c r="U309" i="10"/>
  <c r="U310" i="10"/>
  <c r="U311" i="10"/>
  <c r="U312" i="10"/>
  <c r="U313" i="10"/>
  <c r="U314" i="10"/>
  <c r="U315" i="10"/>
  <c r="U316" i="10"/>
  <c r="U317" i="10"/>
  <c r="U318" i="10"/>
  <c r="U319" i="10"/>
  <c r="U320" i="10"/>
  <c r="U321" i="10"/>
  <c r="U322" i="10"/>
  <c r="U323" i="10"/>
  <c r="U324" i="10"/>
  <c r="U325" i="10"/>
  <c r="U326" i="10"/>
  <c r="U327" i="10"/>
  <c r="T328" i="10"/>
  <c r="T329" i="10"/>
  <c r="T330" i="10"/>
  <c r="T331" i="10"/>
  <c r="T332" i="10"/>
  <c r="T333" i="10"/>
  <c r="T334" i="10"/>
  <c r="T335" i="10"/>
  <c r="U152" i="10"/>
  <c r="T168" i="10"/>
  <c r="U173" i="10"/>
  <c r="U183" i="10"/>
  <c r="U204" i="10"/>
  <c r="T216" i="10"/>
  <c r="U217" i="10"/>
  <c r="U221" i="10"/>
  <c r="U225" i="10"/>
  <c r="U229" i="10"/>
  <c r="U233" i="10"/>
  <c r="U237" i="10"/>
  <c r="U241" i="10"/>
  <c r="T244" i="10"/>
  <c r="T248" i="10"/>
  <c r="T252" i="10"/>
  <c r="T256" i="10"/>
  <c r="T260" i="10"/>
  <c r="T264" i="10"/>
  <c r="T265" i="10"/>
  <c r="T273" i="10"/>
  <c r="U285" i="10"/>
  <c r="U293" i="10"/>
  <c r="U294" i="10"/>
  <c r="U295" i="10"/>
  <c r="U296" i="10"/>
  <c r="U297" i="10"/>
  <c r="U298" i="10"/>
  <c r="U328" i="10"/>
  <c r="U329" i="10"/>
  <c r="U330" i="10"/>
  <c r="U331" i="10"/>
  <c r="U332" i="10"/>
  <c r="U333" i="10"/>
  <c r="U334" i="10"/>
  <c r="U335" i="10"/>
  <c r="T366" i="10"/>
  <c r="T325" i="10"/>
  <c r="T321" i="10"/>
  <c r="T317" i="10"/>
  <c r="T313" i="10"/>
  <c r="T309" i="10"/>
  <c r="U290" i="10"/>
  <c r="U238" i="10"/>
  <c r="U230" i="10"/>
  <c r="U222" i="10"/>
  <c r="T197" i="10"/>
  <c r="T187" i="10"/>
  <c r="U468" i="10"/>
  <c r="U103" i="10" s="1"/>
  <c r="S144" i="10"/>
  <c r="R136" i="10"/>
  <c r="R122" i="10"/>
  <c r="R432" i="10"/>
  <c r="R67" i="10" s="1"/>
  <c r="R441" i="10"/>
  <c r="R76" i="10" s="1"/>
  <c r="U460" i="10"/>
  <c r="U95" i="10" s="1"/>
  <c r="T467" i="10"/>
  <c r="T102" i="10" s="1"/>
  <c r="R474" i="10"/>
  <c r="R109" i="10" s="1"/>
  <c r="T482" i="10"/>
  <c r="T117" i="10" s="1"/>
  <c r="U125" i="10"/>
  <c r="U130" i="10"/>
  <c r="T134" i="10"/>
  <c r="S138" i="10"/>
  <c r="U141" i="10"/>
  <c r="R145" i="10"/>
  <c r="T149" i="10"/>
  <c r="T153" i="10"/>
  <c r="R156" i="10"/>
  <c r="T158" i="10"/>
  <c r="S161" i="10"/>
  <c r="R164" i="10"/>
  <c r="T166" i="10"/>
  <c r="S169" i="10"/>
  <c r="U171" i="10"/>
  <c r="S173" i="10"/>
  <c r="T175" i="10"/>
  <c r="R177" i="10"/>
  <c r="U178" i="10"/>
  <c r="U180" i="10"/>
  <c r="S183" i="10"/>
  <c r="T184" i="10"/>
  <c r="U185" i="10"/>
  <c r="R187" i="10"/>
  <c r="S188" i="10"/>
  <c r="T189" i="10"/>
  <c r="R191" i="10"/>
  <c r="S192" i="10"/>
  <c r="U193" i="10"/>
  <c r="R195" i="10"/>
  <c r="S196" i="10"/>
  <c r="U197" i="10"/>
  <c r="R199" i="10"/>
  <c r="T200" i="10"/>
  <c r="U201" i="10"/>
  <c r="R203" i="10"/>
  <c r="T204" i="10"/>
  <c r="U205" i="10"/>
  <c r="S207" i="10"/>
  <c r="T208" i="10"/>
  <c r="U209" i="10"/>
  <c r="S211" i="10"/>
  <c r="T212" i="10"/>
  <c r="T213" i="10"/>
  <c r="S214" i="10"/>
  <c r="S215" i="10"/>
  <c r="S216" i="10"/>
  <c r="S416" i="10"/>
  <c r="S51" i="10" s="1"/>
  <c r="S437" i="10"/>
  <c r="S72" i="10" s="1"/>
  <c r="R450" i="10"/>
  <c r="R85" i="10" s="1"/>
  <c r="T463" i="10"/>
  <c r="T98" i="10" s="1"/>
  <c r="T471" i="10"/>
  <c r="T106" i="10" s="1"/>
  <c r="R478" i="10"/>
  <c r="R113" i="10" s="1"/>
  <c r="S485" i="10"/>
  <c r="S120" i="10" s="1"/>
  <c r="R123" i="10"/>
  <c r="U127" i="10"/>
  <c r="S133" i="10"/>
  <c r="T136" i="10"/>
  <c r="U139" i="10"/>
  <c r="U143" i="10"/>
  <c r="R147" i="10"/>
  <c r="T151" i="10"/>
  <c r="S152" i="10"/>
  <c r="U154" i="10"/>
  <c r="S157" i="10"/>
  <c r="R160" i="10"/>
  <c r="T162" i="10"/>
  <c r="S165" i="10"/>
  <c r="R168" i="10"/>
  <c r="T170" i="10"/>
  <c r="S172" i="10"/>
  <c r="S174" i="10"/>
  <c r="R176" i="10"/>
  <c r="R178" i="10"/>
  <c r="U179" i="10"/>
  <c r="T181" i="10"/>
  <c r="T182" i="10"/>
  <c r="U401" i="10"/>
  <c r="U36" i="10" s="1"/>
  <c r="S430" i="10"/>
  <c r="S65" i="10" s="1"/>
  <c r="S453" i="10"/>
  <c r="S88" i="10" s="1"/>
  <c r="S462" i="10"/>
  <c r="S97" i="10" s="1"/>
  <c r="R476" i="10"/>
  <c r="R111" i="10" s="1"/>
  <c r="R124" i="10"/>
  <c r="R134" i="10"/>
  <c r="R141" i="10"/>
  <c r="U147" i="10"/>
  <c r="T156" i="10"/>
  <c r="R162" i="10"/>
  <c r="S167" i="10"/>
  <c r="R172" i="10"/>
  <c r="U175" i="10"/>
  <c r="T179" i="10"/>
  <c r="U182" i="10"/>
  <c r="U184" i="10"/>
  <c r="T186" i="10"/>
  <c r="R188" i="10"/>
  <c r="R190" i="10"/>
  <c r="U191" i="10"/>
  <c r="S193" i="10"/>
  <c r="S195" i="10"/>
  <c r="R197" i="10"/>
  <c r="U198" i="10"/>
  <c r="U200" i="10"/>
  <c r="T202" i="10"/>
  <c r="R204" i="10"/>
  <c r="S206" i="10"/>
  <c r="U207" i="10"/>
  <c r="T209" i="10"/>
  <c r="T211" i="10"/>
  <c r="U213" i="10"/>
  <c r="U214" i="10"/>
  <c r="R216" i="10"/>
  <c r="R217" i="10"/>
  <c r="R218" i="10"/>
  <c r="R219" i="10"/>
  <c r="R220" i="10"/>
  <c r="R221" i="10"/>
  <c r="R222" i="10"/>
  <c r="R223" i="10"/>
  <c r="R224" i="10"/>
  <c r="R225" i="10"/>
  <c r="R226" i="10"/>
  <c r="R227" i="10"/>
  <c r="R228" i="10"/>
  <c r="R229" i="10"/>
  <c r="R230" i="10"/>
  <c r="R231" i="10"/>
  <c r="R232" i="10"/>
  <c r="R233" i="10"/>
  <c r="R234" i="10"/>
  <c r="R235" i="10"/>
  <c r="R236" i="10"/>
  <c r="R237" i="10"/>
  <c r="R238" i="10"/>
  <c r="R239" i="10"/>
  <c r="R240" i="10"/>
  <c r="R241" i="10"/>
  <c r="R242" i="10"/>
  <c r="R243" i="10"/>
  <c r="R245" i="10"/>
  <c r="R246" i="10"/>
  <c r="R247" i="10"/>
  <c r="R248" i="10"/>
  <c r="R249" i="10"/>
  <c r="R250" i="10"/>
  <c r="R251" i="10"/>
  <c r="R252" i="10"/>
  <c r="R253" i="10"/>
  <c r="R254" i="10"/>
  <c r="R255" i="10"/>
  <c r="R256" i="10"/>
  <c r="R257" i="10"/>
  <c r="R258" i="10"/>
  <c r="R259" i="10"/>
  <c r="R260" i="10"/>
  <c r="R261" i="10"/>
  <c r="R262" i="10"/>
  <c r="R263" i="10"/>
  <c r="R264" i="10"/>
  <c r="U265" i="10"/>
  <c r="U266" i="10"/>
  <c r="U267" i="10"/>
  <c r="U268" i="10"/>
  <c r="U269" i="10"/>
  <c r="U270" i="10"/>
  <c r="U271" i="10"/>
  <c r="U272" i="10"/>
  <c r="U273" i="10"/>
  <c r="U274" i="10"/>
  <c r="U275" i="10"/>
  <c r="U276" i="10"/>
  <c r="U277" i="10"/>
  <c r="U278" i="10"/>
  <c r="U279" i="10"/>
  <c r="T280" i="10"/>
  <c r="T281" i="10"/>
  <c r="T282" i="10"/>
  <c r="T283" i="10"/>
  <c r="T284" i="10"/>
  <c r="T285" i="10"/>
  <c r="T286" i="10"/>
  <c r="T287" i="10"/>
  <c r="T288" i="10"/>
  <c r="T289" i="10"/>
  <c r="T290" i="10"/>
  <c r="T291" i="10"/>
  <c r="T292" i="10"/>
  <c r="T293" i="10"/>
  <c r="T294" i="10"/>
  <c r="O177" i="10"/>
  <c r="N160" i="10"/>
  <c r="O185" i="10"/>
  <c r="O216" i="10"/>
  <c r="N226" i="10"/>
  <c r="M234" i="10"/>
  <c r="M241" i="10"/>
  <c r="P202" i="10"/>
  <c r="N198" i="10"/>
  <c r="N224" i="10"/>
  <c r="N235" i="10"/>
  <c r="P243" i="10"/>
  <c r="O249" i="10"/>
  <c r="P253" i="10"/>
  <c r="P259" i="10"/>
  <c r="O265" i="10"/>
  <c r="P269" i="10"/>
  <c r="N278" i="10"/>
  <c r="P283" i="10"/>
  <c r="O289" i="10"/>
  <c r="N294" i="10"/>
  <c r="P299" i="10"/>
  <c r="O305" i="10"/>
  <c r="X444" i="10"/>
  <c r="X79" i="10" s="1"/>
  <c r="N365" i="10"/>
  <c r="P362" i="10"/>
  <c r="O360" i="10"/>
  <c r="N357" i="10"/>
  <c r="P354" i="10"/>
  <c r="O352" i="10"/>
  <c r="N349" i="10"/>
  <c r="P346" i="10"/>
  <c r="O344" i="10"/>
  <c r="N341" i="10"/>
  <c r="P338" i="10"/>
  <c r="O336" i="10"/>
  <c r="P333" i="10"/>
  <c r="O331" i="10"/>
  <c r="N328" i="10"/>
  <c r="P325" i="10"/>
  <c r="O323" i="10"/>
  <c r="N320" i="10"/>
  <c r="P317" i="10"/>
  <c r="O315" i="10"/>
  <c r="N312" i="10"/>
  <c r="P309" i="10"/>
  <c r="O307" i="10"/>
  <c r="M305" i="10"/>
  <c r="N301" i="10"/>
  <c r="M299" i="10"/>
  <c r="M297" i="10"/>
  <c r="N293" i="10"/>
  <c r="M291" i="10"/>
  <c r="M289" i="10"/>
  <c r="N285" i="10"/>
  <c r="M283" i="10"/>
  <c r="M281" i="10"/>
  <c r="N277" i="10"/>
  <c r="M275" i="10"/>
  <c r="O272" i="10"/>
  <c r="N269" i="10"/>
  <c r="M267" i="10"/>
  <c r="O264" i="10"/>
  <c r="N261" i="10"/>
  <c r="M259" i="10"/>
  <c r="O256" i="10"/>
  <c r="N253" i="10"/>
  <c r="M251" i="10"/>
  <c r="O248" i="10"/>
  <c r="N245" i="10"/>
  <c r="N243" i="10"/>
  <c r="O240" i="10"/>
  <c r="N236" i="10"/>
  <c r="M233" i="10"/>
  <c r="N229" i="10"/>
  <c r="O225" i="10"/>
  <c r="N221" i="10"/>
  <c r="M217" i="10"/>
  <c r="M211" i="10"/>
  <c r="N200" i="10"/>
  <c r="S375" i="10"/>
  <c r="S10" i="10" s="1"/>
  <c r="R384" i="10"/>
  <c r="R19" i="10" s="1"/>
  <c r="S392" i="10"/>
  <c r="S27" i="10" s="1"/>
  <c r="U397" i="10"/>
  <c r="U32" i="10" s="1"/>
  <c r="S401" i="10"/>
  <c r="S36" i="10" s="1"/>
  <c r="S405" i="10"/>
  <c r="S40" i="10" s="1"/>
  <c r="S409" i="10"/>
  <c r="S44" i="10" s="1"/>
  <c r="S413" i="10"/>
  <c r="S48" i="10" s="1"/>
  <c r="R416" i="10"/>
  <c r="R51" i="10" s="1"/>
  <c r="R417" i="10"/>
  <c r="R52" i="10" s="1"/>
  <c r="R419" i="10"/>
  <c r="R54" i="10" s="1"/>
  <c r="R420" i="10"/>
  <c r="R55" i="10" s="1"/>
  <c r="R423" i="10"/>
  <c r="R58" i="10" s="1"/>
  <c r="R425" i="10"/>
  <c r="U425" i="10"/>
  <c r="U60" i="10" s="1"/>
  <c r="R426" i="10"/>
  <c r="T426" i="10"/>
  <c r="T61" i="10" s="1"/>
  <c r="R427" i="10"/>
  <c r="R428" i="10"/>
  <c r="R429" i="10"/>
  <c r="R430" i="10"/>
  <c r="R65" i="10" s="1"/>
  <c r="R431" i="10"/>
  <c r="S433" i="10"/>
  <c r="S68" i="10" s="1"/>
  <c r="S434" i="10"/>
  <c r="S69" i="10" s="1"/>
  <c r="U434" i="10"/>
  <c r="U69" i="10" s="1"/>
  <c r="S435" i="10"/>
  <c r="S70" i="10" s="1"/>
  <c r="U435" i="10"/>
  <c r="U70" i="10" s="1"/>
  <c r="T436" i="10"/>
  <c r="T71" i="10" s="1"/>
  <c r="T437" i="10"/>
  <c r="T72" i="10" s="1"/>
  <c r="U439" i="10"/>
  <c r="U74" i="10" s="1"/>
  <c r="U441" i="10"/>
  <c r="U76" i="10" s="1"/>
  <c r="U443" i="10"/>
  <c r="U78" i="10" s="1"/>
  <c r="U444" i="10"/>
  <c r="U79" i="10" s="1"/>
  <c r="T445" i="10"/>
  <c r="T80" i="10" s="1"/>
  <c r="U373" i="10"/>
  <c r="U8" i="10" s="1"/>
  <c r="S381" i="10"/>
  <c r="S16" i="10" s="1"/>
  <c r="U388" i="10"/>
  <c r="U23" i="10" s="1"/>
  <c r="T395" i="10"/>
  <c r="T30" i="10" s="1"/>
  <c r="S399" i="10"/>
  <c r="S34" i="10" s="1"/>
  <c r="S403" i="10"/>
  <c r="S38" i="10" s="1"/>
  <c r="S407" i="10"/>
  <c r="S42" i="10" s="1"/>
  <c r="S411" i="10"/>
  <c r="S46" i="10" s="1"/>
  <c r="S415" i="10"/>
  <c r="S50" i="10" s="1"/>
  <c r="T416" i="10"/>
  <c r="T51" i="10" s="1"/>
  <c r="T418" i="10"/>
  <c r="T53" i="10" s="1"/>
  <c r="T419" i="10"/>
  <c r="T54" i="10" s="1"/>
  <c r="T422" i="10"/>
  <c r="T57" i="10" s="1"/>
  <c r="T424" i="10"/>
  <c r="T59" i="10" s="1"/>
  <c r="T425" i="10"/>
  <c r="T60" i="10" s="1"/>
  <c r="S426" i="10"/>
  <c r="S61" i="10" s="1"/>
  <c r="U426" i="10"/>
  <c r="U61" i="10" s="1"/>
  <c r="T427" i="10"/>
  <c r="T62" i="10" s="1"/>
  <c r="T382" i="10"/>
  <c r="T17" i="10" s="1"/>
  <c r="R396" i="10"/>
  <c r="R31" i="10" s="1"/>
  <c r="U403" i="10"/>
  <c r="U38" i="10" s="1"/>
  <c r="U411" i="10"/>
  <c r="U46" i="10" s="1"/>
  <c r="U416" i="10"/>
  <c r="U51" i="10" s="1"/>
  <c r="U419" i="10"/>
  <c r="U54" i="10" s="1"/>
  <c r="U424" i="10"/>
  <c r="U59" i="10" s="1"/>
  <c r="T428" i="10"/>
  <c r="T63" i="10" s="1"/>
  <c r="U429" i="10"/>
  <c r="U64" i="10" s="1"/>
  <c r="S431" i="10"/>
  <c r="S66" i="10" s="1"/>
  <c r="T432" i="10"/>
  <c r="T67" i="10" s="1"/>
  <c r="T433" i="10"/>
  <c r="T68" i="10" s="1"/>
  <c r="T434" i="10"/>
  <c r="T69" i="10" s="1"/>
  <c r="R437" i="10"/>
  <c r="S438" i="10"/>
  <c r="S73" i="10" s="1"/>
  <c r="R439" i="10"/>
  <c r="U440" i="10"/>
  <c r="U75" i="10" s="1"/>
  <c r="R442" i="10"/>
  <c r="T443" i="10"/>
  <c r="T78" i="10" s="1"/>
  <c r="R445" i="10"/>
  <c r="U445" i="10"/>
  <c r="U80" i="10" s="1"/>
  <c r="S446" i="10"/>
  <c r="S81" i="10" s="1"/>
  <c r="U446" i="10"/>
  <c r="U81" i="10" s="1"/>
  <c r="S447" i="10"/>
  <c r="S82" i="10" s="1"/>
  <c r="U447" i="10"/>
  <c r="U82" i="10" s="1"/>
  <c r="T448" i="10"/>
  <c r="T83" i="10" s="1"/>
  <c r="U450" i="10"/>
  <c r="U85" i="10" s="1"/>
  <c r="T451" i="10"/>
  <c r="T86" i="10" s="1"/>
  <c r="R452" i="10"/>
  <c r="R453" i="10"/>
  <c r="S454" i="10"/>
  <c r="S89" i="10" s="1"/>
  <c r="S455" i="10"/>
  <c r="S90" i="10" s="1"/>
  <c r="U455" i="10"/>
  <c r="U90" i="10" s="1"/>
  <c r="T456" i="10"/>
  <c r="T91" i="10" s="1"/>
  <c r="R457" i="10"/>
  <c r="R92" i="10" s="1"/>
  <c r="R458" i="10"/>
  <c r="R459" i="10"/>
  <c r="R460" i="10"/>
  <c r="R95" i="10" s="1"/>
  <c r="R461" i="10"/>
  <c r="R462" i="10"/>
  <c r="R463" i="10"/>
  <c r="R464" i="10"/>
  <c r="R465" i="10"/>
  <c r="R466" i="10"/>
  <c r="R101" i="10" s="1"/>
  <c r="R467" i="10"/>
  <c r="R102" i="10" s="1"/>
  <c r="R468" i="10"/>
  <c r="R469" i="10"/>
  <c r="R104" i="10" s="1"/>
  <c r="S473" i="10"/>
  <c r="S108" i="10" s="1"/>
  <c r="S474" i="10"/>
  <c r="S109" i="10" s="1"/>
  <c r="U474" i="10"/>
  <c r="U109" i="10" s="1"/>
  <c r="T475" i="10"/>
  <c r="T110" i="10" s="1"/>
  <c r="U477" i="10"/>
  <c r="U112" i="10" s="1"/>
  <c r="U478" i="10"/>
  <c r="U113" i="10" s="1"/>
  <c r="T479" i="10"/>
  <c r="T114" i="10" s="1"/>
  <c r="R480" i="10"/>
  <c r="R481" i="10"/>
  <c r="S483" i="10"/>
  <c r="S118" i="10" s="1"/>
  <c r="S484" i="10"/>
  <c r="S119" i="10" s="1"/>
  <c r="U484" i="10"/>
  <c r="U119" i="10" s="1"/>
  <c r="T485" i="10"/>
  <c r="T120" i="10" s="1"/>
  <c r="R486" i="10"/>
  <c r="R121" i="10" s="1"/>
  <c r="T486" i="10"/>
  <c r="T121" i="10" s="1"/>
  <c r="T374" i="10"/>
  <c r="T9" i="10" s="1"/>
  <c r="R391" i="10"/>
  <c r="R26" i="10" s="1"/>
  <c r="U399" i="10"/>
  <c r="U34" i="10" s="1"/>
  <c r="U407" i="10"/>
  <c r="U42" i="10" s="1"/>
  <c r="U415" i="10"/>
  <c r="U50" i="10" s="1"/>
  <c r="U418" i="10"/>
  <c r="U53" i="10" s="1"/>
  <c r="U422" i="10"/>
  <c r="U57" i="10" s="1"/>
  <c r="U427" i="10"/>
  <c r="U62" i="10" s="1"/>
  <c r="S429" i="10"/>
  <c r="S64" i="10" s="1"/>
  <c r="T430" i="10"/>
  <c r="T65" i="10" s="1"/>
  <c r="T431" i="10"/>
  <c r="T66" i="10" s="1"/>
  <c r="S432" i="10"/>
  <c r="S67" i="10" s="1"/>
  <c r="R434" i="10"/>
  <c r="T435" i="10"/>
  <c r="T70" i="10" s="1"/>
  <c r="S436" i="10"/>
  <c r="S71" i="10" s="1"/>
  <c r="U437" i="10"/>
  <c r="U72" i="10" s="1"/>
  <c r="T439" i="10"/>
  <c r="T74" i="10" s="1"/>
  <c r="T440" i="10"/>
  <c r="T75" i="10" s="1"/>
  <c r="S441" i="10"/>
  <c r="S442" i="10"/>
  <c r="S77" i="10" s="1"/>
  <c r="R443" i="10"/>
  <c r="S444" i="10"/>
  <c r="S79" i="10" s="1"/>
  <c r="R446" i="10"/>
  <c r="T446" i="10"/>
  <c r="T81" i="10" s="1"/>
  <c r="R447" i="10"/>
  <c r="T447" i="10"/>
  <c r="T82" i="10" s="1"/>
  <c r="R448" i="10"/>
  <c r="R449" i="10"/>
  <c r="S450" i="10"/>
  <c r="S85" i="10" s="1"/>
  <c r="S451" i="10"/>
  <c r="S86" i="10" s="1"/>
  <c r="U451" i="10"/>
  <c r="T452" i="10"/>
  <c r="T87" i="10" s="1"/>
  <c r="U454" i="10"/>
  <c r="U89" i="10" s="1"/>
  <c r="T455" i="10"/>
  <c r="T90" i="10" s="1"/>
  <c r="R456" i="10"/>
  <c r="T457" i="10"/>
  <c r="T92" i="10" s="1"/>
  <c r="T458" i="10"/>
  <c r="T93" i="10" s="1"/>
  <c r="T459" i="10"/>
  <c r="T94" i="10" s="1"/>
  <c r="T460" i="10"/>
  <c r="T95" i="10" s="1"/>
  <c r="T394" i="10"/>
  <c r="T29" i="10" s="1"/>
  <c r="U405" i="10"/>
  <c r="U40" i="10" s="1"/>
  <c r="S418" i="10"/>
  <c r="S53" i="10" s="1"/>
  <c r="S425" i="10"/>
  <c r="S60" i="10" s="1"/>
  <c r="S428" i="10"/>
  <c r="S63" i="10" s="1"/>
  <c r="U430" i="10"/>
  <c r="U65" i="10" s="1"/>
  <c r="R438" i="10"/>
  <c r="R440" i="10"/>
  <c r="T441" i="10"/>
  <c r="T76" i="10" s="1"/>
  <c r="S443" i="10"/>
  <c r="S78" i="10" s="1"/>
  <c r="S449" i="10"/>
  <c r="S84" i="10" s="1"/>
  <c r="T450" i="10"/>
  <c r="T85" i="10" s="1"/>
  <c r="T453" i="10"/>
  <c r="T88" i="10" s="1"/>
  <c r="R455" i="10"/>
  <c r="S456" i="10"/>
  <c r="S91" i="10" s="1"/>
  <c r="S458" i="10"/>
  <c r="S93" i="10" s="1"/>
  <c r="S460" i="10"/>
  <c r="S95" i="10" s="1"/>
  <c r="U461" i="10"/>
  <c r="U96" i="10" s="1"/>
  <c r="S463" i="10"/>
  <c r="S98" i="10" s="1"/>
  <c r="T464" i="10"/>
  <c r="T99" i="10" s="1"/>
  <c r="U465" i="10"/>
  <c r="U100" i="10" s="1"/>
  <c r="S467" i="10"/>
  <c r="S102" i="10" s="1"/>
  <c r="T468" i="10"/>
  <c r="T103" i="10" s="1"/>
  <c r="U469" i="10"/>
  <c r="U104" i="10" s="1"/>
  <c r="T470" i="10"/>
  <c r="T105" i="10" s="1"/>
  <c r="S471" i="10"/>
  <c r="S106" i="10" s="1"/>
  <c r="R472" i="10"/>
  <c r="R107" i="10" s="1"/>
  <c r="U472" i="10"/>
  <c r="U107" i="10" s="1"/>
  <c r="U473" i="10"/>
  <c r="U108" i="10" s="1"/>
  <c r="U475" i="10"/>
  <c r="U110" i="10" s="1"/>
  <c r="T477" i="10"/>
  <c r="T112" i="10" s="1"/>
  <c r="R479" i="10"/>
  <c r="U479" i="10"/>
  <c r="U114" i="10" s="1"/>
  <c r="U480" i="10"/>
  <c r="U115" i="10" s="1"/>
  <c r="U481" i="10"/>
  <c r="U116" i="10" s="1"/>
  <c r="R483" i="10"/>
  <c r="R485" i="10"/>
  <c r="S122" i="10"/>
  <c r="S123" i="10"/>
  <c r="S124" i="10"/>
  <c r="R125" i="10"/>
  <c r="R126" i="10"/>
  <c r="R127" i="10"/>
  <c r="R128" i="10"/>
  <c r="R129" i="10"/>
  <c r="R130" i="10"/>
  <c r="R131" i="10"/>
  <c r="R132" i="10"/>
  <c r="U133" i="10"/>
  <c r="U134" i="10"/>
  <c r="U135" i="10"/>
  <c r="U136" i="10"/>
  <c r="T137" i="10"/>
  <c r="T138" i="10"/>
  <c r="T139" i="10"/>
  <c r="T140" i="10"/>
  <c r="T141" i="10"/>
  <c r="T142" i="10"/>
  <c r="T143" i="10"/>
  <c r="T144" i="10"/>
  <c r="T145" i="10"/>
  <c r="T146" i="10"/>
  <c r="T147" i="10"/>
  <c r="T148" i="10"/>
  <c r="S149" i="10"/>
  <c r="S150" i="10"/>
  <c r="S151" i="10"/>
  <c r="R152" i="10"/>
  <c r="R153" i="10"/>
  <c r="R154" i="10"/>
  <c r="U155" i="10"/>
  <c r="U156" i="10"/>
  <c r="U157" i="10"/>
  <c r="U158" i="10"/>
  <c r="U159" i="10"/>
  <c r="U160" i="10"/>
  <c r="U161" i="10"/>
  <c r="U162" i="10"/>
  <c r="U163" i="10"/>
  <c r="U164" i="10"/>
  <c r="U165" i="10"/>
  <c r="U166" i="10"/>
  <c r="U167" i="10"/>
  <c r="U168" i="10"/>
  <c r="U169" i="10"/>
  <c r="U170" i="10"/>
  <c r="T171" i="10"/>
  <c r="T172" i="10"/>
  <c r="T173" i="10"/>
  <c r="T174" i="10"/>
  <c r="S175" i="10"/>
  <c r="S176" i="10"/>
  <c r="S177" i="10"/>
  <c r="S178" i="10"/>
  <c r="S179" i="10"/>
  <c r="S180" i="10"/>
  <c r="S181" i="10"/>
  <c r="T377" i="10"/>
  <c r="T12" i="10" s="1"/>
  <c r="U413" i="10"/>
  <c r="U48" i="10" s="1"/>
  <c r="S422" i="10"/>
  <c r="S57" i="10" s="1"/>
  <c r="T429" i="10"/>
  <c r="T64" i="10" s="1"/>
  <c r="U431" i="10"/>
  <c r="U66" i="10" s="1"/>
  <c r="R433" i="10"/>
  <c r="R68" i="10" s="1"/>
  <c r="R435" i="10"/>
  <c r="U436" i="10"/>
  <c r="U71" i="10" s="1"/>
  <c r="U438" i="10"/>
  <c r="U73" i="10" s="1"/>
  <c r="T442" i="10"/>
  <c r="T77" i="10" s="1"/>
  <c r="T444" i="10"/>
  <c r="T79" i="10" s="1"/>
  <c r="S448" i="10"/>
  <c r="S83" i="10" s="1"/>
  <c r="U449" i="10"/>
  <c r="U84" i="10" s="1"/>
  <c r="U452" i="10"/>
  <c r="U87" i="10" s="1"/>
  <c r="R454" i="10"/>
  <c r="S457" i="10"/>
  <c r="S92" i="10" s="1"/>
  <c r="S459" i="10"/>
  <c r="S94" i="10" s="1"/>
  <c r="S461" i="10"/>
  <c r="S96" i="10" s="1"/>
  <c r="T462" i="10"/>
  <c r="T97" i="10" s="1"/>
  <c r="U463" i="10"/>
  <c r="U98" i="10" s="1"/>
  <c r="S465" i="10"/>
  <c r="S100" i="10" s="1"/>
  <c r="T466" i="10"/>
  <c r="T101" i="10" s="1"/>
  <c r="U467" i="10"/>
  <c r="U102" i="10" s="1"/>
  <c r="S469" i="10"/>
  <c r="S104" i="10" s="1"/>
  <c r="U470" i="10"/>
  <c r="U105" i="10" s="1"/>
  <c r="U471" i="10"/>
  <c r="U106" i="10" s="1"/>
  <c r="R473" i="10"/>
  <c r="R475" i="10"/>
  <c r="S476" i="10"/>
  <c r="R477" i="10"/>
  <c r="S478" i="10"/>
  <c r="S113" i="10" s="1"/>
  <c r="S480" i="10"/>
  <c r="S115" i="10" s="1"/>
  <c r="R482" i="10"/>
  <c r="U482" i="10"/>
  <c r="U117" i="10" s="1"/>
  <c r="U483" i="10"/>
  <c r="U118" i="10" s="1"/>
  <c r="U485" i="10"/>
  <c r="U120" i="10" s="1"/>
  <c r="S486" i="10"/>
  <c r="S121" i="10" s="1"/>
  <c r="U122" i="10"/>
  <c r="U123" i="10"/>
  <c r="U124" i="10"/>
  <c r="T125" i="10"/>
  <c r="T126" i="10"/>
  <c r="T127" i="10"/>
  <c r="T128" i="10"/>
  <c r="T129" i="10"/>
  <c r="T130" i="10"/>
  <c r="T131" i="10"/>
  <c r="T132" i="10"/>
  <c r="R387" i="10"/>
  <c r="R22" i="10" s="1"/>
  <c r="U409" i="10"/>
  <c r="U44" i="10" s="1"/>
  <c r="U428" i="10"/>
  <c r="U63" i="10" s="1"/>
  <c r="U432" i="10"/>
  <c r="U67" i="10" s="1"/>
  <c r="R436" i="10"/>
  <c r="S440" i="10"/>
  <c r="S75" i="10" s="1"/>
  <c r="R444" i="10"/>
  <c r="R79" i="10" s="1"/>
  <c r="T449" i="10"/>
  <c r="T84" i="10" s="1"/>
  <c r="S452" i="10"/>
  <c r="S87" i="10" s="1"/>
  <c r="U459" i="10"/>
  <c r="U94" i="10" s="1"/>
  <c r="U462" i="10"/>
  <c r="U97" i="10" s="1"/>
  <c r="T465" i="10"/>
  <c r="T100" i="10" s="1"/>
  <c r="S468" i="10"/>
  <c r="S103" i="10" s="1"/>
  <c r="S470" i="10"/>
  <c r="S105" i="10" s="1"/>
  <c r="T473" i="10"/>
  <c r="T108" i="10" s="1"/>
  <c r="S475" i="10"/>
  <c r="S110" i="10" s="1"/>
  <c r="S477" i="10"/>
  <c r="S112" i="10" s="1"/>
  <c r="T481" i="10"/>
  <c r="T116" i="10" s="1"/>
  <c r="T122" i="10"/>
  <c r="T124" i="10"/>
  <c r="S126" i="10"/>
  <c r="S128" i="10"/>
  <c r="S130" i="10"/>
  <c r="S132" i="10"/>
  <c r="T133" i="10"/>
  <c r="R135" i="10"/>
  <c r="S136" i="10"/>
  <c r="S137" i="10"/>
  <c r="U138" i="10"/>
  <c r="R140" i="10"/>
  <c r="S141" i="10"/>
  <c r="U142" i="10"/>
  <c r="R144" i="10"/>
  <c r="S145" i="10"/>
  <c r="U146" i="10"/>
  <c r="R148" i="10"/>
  <c r="R149" i="10"/>
  <c r="T150" i="10"/>
  <c r="U151" i="10"/>
  <c r="T152" i="10"/>
  <c r="U153" i="10"/>
  <c r="R155" i="10"/>
  <c r="S156" i="10"/>
  <c r="T157" i="10"/>
  <c r="R159" i="10"/>
  <c r="S160" i="10"/>
  <c r="T161" i="10"/>
  <c r="R163" i="10"/>
  <c r="S164" i="10"/>
  <c r="T165" i="10"/>
  <c r="R167" i="10"/>
  <c r="S168" i="10"/>
  <c r="T169" i="10"/>
  <c r="S419" i="10"/>
  <c r="S54" i="10" s="1"/>
  <c r="T438" i="10"/>
  <c r="T73" i="10" s="1"/>
  <c r="R451" i="10"/>
  <c r="R86" i="10" s="1"/>
  <c r="U453" i="10"/>
  <c r="U88" i="10" s="1"/>
  <c r="U456" i="10"/>
  <c r="U91" i="10" s="1"/>
  <c r="U457" i="10"/>
  <c r="T461" i="10"/>
  <c r="T96" i="10" s="1"/>
  <c r="S464" i="10"/>
  <c r="S99" i="10" s="1"/>
  <c r="U466" i="10"/>
  <c r="U101" i="10" s="1"/>
  <c r="T469" i="10"/>
  <c r="T104" i="10" s="1"/>
  <c r="R471" i="10"/>
  <c r="T472" i="10"/>
  <c r="T107" i="10" s="1"/>
  <c r="T474" i="10"/>
  <c r="T109" i="10" s="1"/>
  <c r="T476" i="10"/>
  <c r="T111" i="10" s="1"/>
  <c r="T478" i="10"/>
  <c r="T113" i="10" s="1"/>
  <c r="T480" i="10"/>
  <c r="T115" i="10" s="1"/>
  <c r="S482" i="10"/>
  <c r="S117" i="10" s="1"/>
  <c r="R484" i="10"/>
  <c r="U486" i="10"/>
  <c r="U121" i="10" s="1"/>
  <c r="T123" i="10"/>
  <c r="S125" i="10"/>
  <c r="S127" i="10"/>
  <c r="S129" i="10"/>
  <c r="S131" i="10"/>
  <c r="R133" i="10"/>
  <c r="S134" i="10"/>
  <c r="T135" i="10"/>
  <c r="R138" i="10"/>
  <c r="S139" i="10"/>
  <c r="U140" i="10"/>
  <c r="R142" i="10"/>
  <c r="S143" i="10"/>
  <c r="U144" i="10"/>
  <c r="R146" i="10"/>
  <c r="S147" i="10"/>
  <c r="U148" i="10"/>
  <c r="U149" i="10"/>
  <c r="R151" i="10"/>
  <c r="S153" i="10"/>
  <c r="T154" i="10"/>
  <c r="T155" i="10"/>
  <c r="R157" i="10"/>
  <c r="S158" i="10"/>
  <c r="T159" i="10"/>
  <c r="R161" i="10"/>
  <c r="S162" i="10"/>
  <c r="T163" i="10"/>
  <c r="R165" i="10"/>
  <c r="S166" i="10"/>
  <c r="T167" i="10"/>
  <c r="R169" i="10"/>
  <c r="S170" i="10"/>
  <c r="S171" i="10"/>
  <c r="U172" i="10"/>
  <c r="R174" i="10"/>
  <c r="R175" i="10"/>
  <c r="T176" i="10"/>
  <c r="U177" i="10"/>
  <c r="R179" i="10"/>
  <c r="T180" i="10"/>
  <c r="U181" i="10"/>
  <c r="S182" i="10"/>
  <c r="R183" i="10"/>
  <c r="R184" i="10"/>
  <c r="R185" i="10"/>
  <c r="R186" i="10"/>
  <c r="U187" i="10"/>
  <c r="U188" i="10"/>
  <c r="U189" i="10"/>
  <c r="U190" i="10"/>
  <c r="T191" i="10"/>
  <c r="T192" i="10"/>
  <c r="T193" i="10"/>
  <c r="T194" i="10"/>
  <c r="T195" i="10"/>
  <c r="T196" i="10"/>
  <c r="S197" i="10"/>
  <c r="S198" i="10"/>
  <c r="S199" i="10"/>
  <c r="S200" i="10"/>
  <c r="S201" i="10"/>
  <c r="S202" i="10"/>
  <c r="S203" i="10"/>
  <c r="S204" i="10"/>
  <c r="R205" i="10"/>
  <c r="R206" i="10"/>
  <c r="R207" i="10"/>
  <c r="R208" i="10"/>
  <c r="R209" i="10"/>
  <c r="R210" i="10"/>
  <c r="R211" i="10"/>
  <c r="R212" i="10"/>
  <c r="M404" i="10"/>
  <c r="M39" i="10" s="1"/>
  <c r="N425" i="10"/>
  <c r="N60" i="10" s="1"/>
  <c r="P133" i="10"/>
  <c r="P454" i="10"/>
  <c r="P89" i="10" s="1"/>
  <c r="N156" i="10"/>
  <c r="P164" i="10"/>
  <c r="M173" i="10"/>
  <c r="O183" i="10"/>
  <c r="P142" i="10"/>
  <c r="P457" i="10"/>
  <c r="P92" i="10" s="1"/>
  <c r="M149" i="10"/>
  <c r="P162" i="10"/>
  <c r="O175" i="10"/>
  <c r="N158" i="10"/>
  <c r="M169" i="10"/>
  <c r="O179" i="10"/>
  <c r="N196" i="10"/>
  <c r="P204" i="10"/>
  <c r="P215" i="10"/>
  <c r="M219" i="10"/>
  <c r="M222" i="10"/>
  <c r="M225" i="10"/>
  <c r="P227" i="10"/>
  <c r="O231" i="10"/>
  <c r="P233" i="10"/>
  <c r="P235" i="10"/>
  <c r="O239" i="10"/>
  <c r="P241" i="10"/>
  <c r="P363" i="10"/>
  <c r="P361" i="10"/>
  <c r="O359" i="10"/>
  <c r="P355" i="10"/>
  <c r="P353" i="10"/>
  <c r="O351" i="10"/>
  <c r="P347" i="10"/>
  <c r="P345" i="10"/>
  <c r="O343" i="10"/>
  <c r="P339" i="10"/>
  <c r="P337" i="10"/>
  <c r="P334" i="10"/>
  <c r="P332" i="10"/>
  <c r="O330" i="10"/>
  <c r="P326" i="10"/>
  <c r="P324" i="10"/>
  <c r="O322" i="10"/>
  <c r="P318" i="10"/>
  <c r="P316" i="10"/>
  <c r="O314" i="10"/>
  <c r="P310" i="10"/>
  <c r="P308" i="10"/>
  <c r="O306" i="10"/>
  <c r="O303" i="10"/>
  <c r="N300" i="10"/>
  <c r="M298" i="10"/>
  <c r="O295" i="10"/>
  <c r="N292" i="10"/>
  <c r="M290" i="10"/>
  <c r="O287" i="10"/>
  <c r="N284" i="10"/>
  <c r="M282" i="10"/>
  <c r="O279" i="10"/>
  <c r="N276" i="10"/>
  <c r="M274" i="10"/>
  <c r="N270" i="10"/>
  <c r="M268" i="10"/>
  <c r="M266" i="10"/>
  <c r="N262" i="10"/>
  <c r="M260" i="10"/>
  <c r="M258" i="10"/>
  <c r="N254" i="10"/>
  <c r="M252" i="10"/>
  <c r="M250" i="10"/>
  <c r="N246" i="10"/>
  <c r="M244" i="10"/>
  <c r="M242" i="10"/>
  <c r="O238" i="10"/>
  <c r="P234" i="10"/>
  <c r="M232" i="10"/>
  <c r="M227" i="10"/>
  <c r="O223" i="10"/>
  <c r="N214" i="10"/>
  <c r="P206" i="10"/>
  <c r="O187" i="10"/>
  <c r="X171" i="10"/>
  <c r="P166" i="10"/>
  <c r="U150" i="10"/>
  <c r="S148" i="10"/>
  <c r="U145" i="10"/>
  <c r="R143" i="10"/>
  <c r="S140" i="10"/>
  <c r="U137" i="10"/>
  <c r="S135" i="10"/>
  <c r="U132" i="10"/>
  <c r="U128" i="10"/>
  <c r="T484" i="10"/>
  <c r="T119" i="10" s="1"/>
  <c r="S481" i="10"/>
  <c r="S116" i="10" s="1"/>
  <c r="U476" i="10"/>
  <c r="U111" i="10" s="1"/>
  <c r="R470" i="10"/>
  <c r="U464" i="10"/>
  <c r="U99" i="10" s="1"/>
  <c r="U458" i="10"/>
  <c r="U93" i="10" s="1"/>
  <c r="T454" i="10"/>
  <c r="T89" i="10" s="1"/>
  <c r="U448" i="10"/>
  <c r="U83" i="10" s="1"/>
  <c r="U442" i="10"/>
  <c r="U77" i="10" s="1"/>
  <c r="S427" i="10"/>
  <c r="S62" i="10" s="1"/>
  <c r="D3" i="15"/>
  <c r="D3" i="20"/>
  <c r="C26" i="15"/>
  <c r="D2" i="20"/>
  <c r="C27" i="20"/>
  <c r="N212" i="10"/>
  <c r="O203" i="10"/>
  <c r="O201" i="10"/>
  <c r="O199" i="10"/>
  <c r="M197" i="10"/>
  <c r="M195" i="10"/>
  <c r="M193" i="10"/>
  <c r="P190" i="10"/>
  <c r="P188" i="10"/>
  <c r="P186" i="10"/>
  <c r="N184" i="10"/>
  <c r="N182" i="10"/>
  <c r="P180" i="10"/>
  <c r="P178" i="10"/>
  <c r="N176" i="10"/>
  <c r="N174" i="10"/>
  <c r="N172" i="10"/>
  <c r="O163" i="10"/>
  <c r="O161" i="10"/>
  <c r="O159" i="10"/>
  <c r="M157" i="10"/>
  <c r="M155" i="10"/>
  <c r="M153" i="10"/>
  <c r="M140" i="10"/>
  <c r="N127" i="10"/>
  <c r="N428" i="10"/>
  <c r="N63" i="10" s="1"/>
  <c r="O366" i="10"/>
  <c r="P365" i="10"/>
  <c r="O364" i="10"/>
  <c r="O363" i="10"/>
  <c r="O362" i="10"/>
  <c r="N361" i="10"/>
  <c r="N360" i="10"/>
  <c r="N359" i="10"/>
  <c r="M358" i="10"/>
  <c r="M357" i="10"/>
  <c r="M356" i="10"/>
  <c r="P351" i="10"/>
  <c r="P350" i="10"/>
  <c r="P349" i="10"/>
  <c r="O348" i="10"/>
  <c r="O347" i="10"/>
  <c r="O346" i="10"/>
  <c r="N345" i="10"/>
  <c r="N344" i="10"/>
  <c r="N343" i="10"/>
  <c r="M342" i="10"/>
  <c r="M341" i="10"/>
  <c r="M340" i="10"/>
  <c r="M335" i="10"/>
  <c r="P330" i="10"/>
  <c r="P329" i="10"/>
  <c r="P328" i="10"/>
  <c r="O327" i="10"/>
  <c r="O326" i="10"/>
  <c r="O325" i="10"/>
  <c r="N324" i="10"/>
  <c r="N323" i="10"/>
  <c r="N322" i="10"/>
  <c r="M321" i="10"/>
  <c r="M320" i="10"/>
  <c r="M319" i="10"/>
  <c r="P314" i="10"/>
  <c r="P313" i="10"/>
  <c r="P312" i="10"/>
  <c r="O311" i="10"/>
  <c r="O310" i="10"/>
  <c r="O309" i="10"/>
  <c r="N308" i="10"/>
  <c r="N307" i="10"/>
  <c r="N306" i="10"/>
  <c r="P304" i="10"/>
  <c r="P303" i="10"/>
  <c r="P302" i="10"/>
  <c r="O301" i="10"/>
  <c r="O300" i="10"/>
  <c r="O299" i="10"/>
  <c r="N298" i="10"/>
  <c r="N297" i="10"/>
  <c r="N296" i="10"/>
  <c r="M295" i="10"/>
  <c r="M294" i="10"/>
  <c r="M293" i="10"/>
  <c r="P288" i="10"/>
  <c r="P287" i="10"/>
  <c r="P286" i="10"/>
  <c r="O285" i="10"/>
  <c r="O284" i="10"/>
  <c r="O283" i="10"/>
  <c r="N282" i="10"/>
  <c r="N281" i="10"/>
  <c r="N280" i="10"/>
  <c r="M279" i="10"/>
  <c r="M278" i="10"/>
  <c r="M277" i="10"/>
  <c r="N274" i="10"/>
  <c r="N273" i="10"/>
  <c r="M272" i="10"/>
  <c r="M271" i="10"/>
  <c r="M270" i="10"/>
  <c r="P265" i="10"/>
  <c r="P264" i="10"/>
  <c r="P263" i="10"/>
  <c r="O262" i="10"/>
  <c r="O261" i="10"/>
  <c r="O260" i="10"/>
  <c r="N259" i="10"/>
  <c r="N258" i="10"/>
  <c r="N257" i="10"/>
  <c r="M256" i="10"/>
  <c r="M255" i="10"/>
  <c r="M254" i="10"/>
  <c r="P249" i="10"/>
  <c r="P248" i="10"/>
  <c r="P247" i="10"/>
  <c r="O246" i="10"/>
  <c r="O245" i="10"/>
  <c r="O244" i="10"/>
  <c r="O243" i="10"/>
  <c r="O242" i="10"/>
  <c r="N241" i="10"/>
  <c r="N240" i="10"/>
  <c r="N239" i="10"/>
  <c r="M238" i="10"/>
  <c r="M237" i="10"/>
  <c r="M236" i="10"/>
  <c r="P231" i="10"/>
  <c r="P230" i="10"/>
  <c r="P229" i="10"/>
  <c r="O228" i="10"/>
  <c r="O227" i="10"/>
  <c r="M226" i="10"/>
  <c r="O224" i="10"/>
  <c r="M223" i="10"/>
  <c r="N220" i="10"/>
  <c r="O217" i="10"/>
  <c r="P214" i="10"/>
  <c r="N213" i="10"/>
  <c r="O211" i="10"/>
  <c r="O209" i="10"/>
  <c r="O207" i="10"/>
  <c r="M205" i="10"/>
  <c r="M203" i="10"/>
  <c r="M201" i="10"/>
  <c r="P198" i="10"/>
  <c r="P196" i="10"/>
  <c r="P194" i="10"/>
  <c r="N192" i="10"/>
  <c r="N190" i="10"/>
  <c r="N188" i="10"/>
  <c r="N180" i="10"/>
  <c r="O171" i="10"/>
  <c r="O169" i="10"/>
  <c r="O167" i="10"/>
  <c r="M165" i="10"/>
  <c r="M163" i="10"/>
  <c r="M161" i="10"/>
  <c r="P158" i="10"/>
  <c r="P156" i="10"/>
  <c r="P154" i="10"/>
  <c r="N152" i="10"/>
  <c r="P150" i="10"/>
  <c r="N144" i="10"/>
  <c r="M124" i="10"/>
  <c r="M482" i="10"/>
  <c r="M117" i="10" s="1"/>
  <c r="O474" i="10"/>
  <c r="O109" i="10" s="1"/>
  <c r="M467" i="10"/>
  <c r="M102" i="10" s="1"/>
  <c r="O459" i="10"/>
  <c r="O94" i="10" s="1"/>
  <c r="O456" i="10"/>
  <c r="O91" i="10" s="1"/>
  <c r="O441" i="10"/>
  <c r="O76" i="10" s="1"/>
  <c r="M432" i="10"/>
  <c r="M67" i="10" s="1"/>
  <c r="Z485" i="10"/>
  <c r="Z120" i="10" s="1"/>
  <c r="Y159" i="10"/>
  <c r="Y285" i="10"/>
  <c r="N368" i="10"/>
  <c r="N3" i="10" s="1"/>
  <c r="P368" i="10"/>
  <c r="P3" i="10" s="1"/>
  <c r="M371" i="10"/>
  <c r="O371" i="10"/>
  <c r="O6" i="10" s="1"/>
  <c r="M372" i="10"/>
  <c r="M7" i="10" s="1"/>
  <c r="O372" i="10"/>
  <c r="O7" i="10" s="1"/>
  <c r="N375" i="10"/>
  <c r="N10" i="10" s="1"/>
  <c r="P375" i="10"/>
  <c r="P10" i="10" s="1"/>
  <c r="N376" i="10"/>
  <c r="N11" i="10" s="1"/>
  <c r="P376" i="10"/>
  <c r="P11" i="10" s="1"/>
  <c r="M379" i="10"/>
  <c r="O379" i="10"/>
  <c r="O14" i="10" s="1"/>
  <c r="N382" i="10"/>
  <c r="N17" i="10" s="1"/>
  <c r="P382" i="10"/>
  <c r="P17" i="10" s="1"/>
  <c r="N383" i="10"/>
  <c r="N18" i="10" s="1"/>
  <c r="P383" i="10"/>
  <c r="P18" i="10" s="1"/>
  <c r="M386" i="10"/>
  <c r="O386" i="10"/>
  <c r="O21" i="10" s="1"/>
  <c r="M387" i="10"/>
  <c r="O387" i="10"/>
  <c r="O22" i="10" s="1"/>
  <c r="N390" i="10"/>
  <c r="N25" i="10" s="1"/>
  <c r="P390" i="10"/>
  <c r="P25" i="10" s="1"/>
  <c r="N391" i="10"/>
  <c r="N26" i="10" s="1"/>
  <c r="P391" i="10"/>
  <c r="P26" i="10" s="1"/>
  <c r="M394" i="10"/>
  <c r="O394" i="10"/>
  <c r="O29" i="10" s="1"/>
  <c r="M395" i="10"/>
  <c r="M30" i="10" s="1"/>
  <c r="O395" i="10"/>
  <c r="O30" i="10" s="1"/>
  <c r="M367" i="10"/>
  <c r="M2" i="10" s="1"/>
  <c r="O367" i="10"/>
  <c r="O2" i="10" s="1"/>
  <c r="M368" i="10"/>
  <c r="O368" i="10"/>
  <c r="O3" i="10" s="1"/>
  <c r="N371" i="10"/>
  <c r="N6" i="10" s="1"/>
  <c r="P371" i="10"/>
  <c r="P6" i="10" s="1"/>
  <c r="N372" i="10"/>
  <c r="N7" i="10" s="1"/>
  <c r="P372" i="10"/>
  <c r="P7" i="10" s="1"/>
  <c r="M375" i="10"/>
  <c r="M10" i="10" s="1"/>
  <c r="O375" i="10"/>
  <c r="O10" i="10" s="1"/>
  <c r="M376" i="10"/>
  <c r="M11" i="10" s="1"/>
  <c r="O376" i="10"/>
  <c r="O11" i="10" s="1"/>
  <c r="N379" i="10"/>
  <c r="N14" i="10" s="1"/>
  <c r="P379" i="10"/>
  <c r="P14" i="10" s="1"/>
  <c r="M382" i="10"/>
  <c r="M17" i="10" s="1"/>
  <c r="O382" i="10"/>
  <c r="O17" i="10" s="1"/>
  <c r="M383" i="10"/>
  <c r="M18" i="10" s="1"/>
  <c r="O383" i="10"/>
  <c r="O18" i="10" s="1"/>
  <c r="N386" i="10"/>
  <c r="N21" i="10" s="1"/>
  <c r="P386" i="10"/>
  <c r="P21" i="10" s="1"/>
  <c r="N387" i="10"/>
  <c r="N22" i="10" s="1"/>
  <c r="P387" i="10"/>
  <c r="P22" i="10" s="1"/>
  <c r="M390" i="10"/>
  <c r="M25" i="10" s="1"/>
  <c r="O390" i="10"/>
  <c r="O25" i="10" s="1"/>
  <c r="M391" i="10"/>
  <c r="M26" i="10" s="1"/>
  <c r="O391" i="10"/>
  <c r="O26" i="10" s="1"/>
  <c r="N394" i="10"/>
  <c r="N29" i="10" s="1"/>
  <c r="P394" i="10"/>
  <c r="P29" i="10" s="1"/>
  <c r="N395" i="10"/>
  <c r="N30" i="10" s="1"/>
  <c r="P395" i="10"/>
  <c r="P30" i="10" s="1"/>
  <c r="N369" i="10"/>
  <c r="N4" i="10" s="1"/>
  <c r="N370" i="10"/>
  <c r="N5" i="10" s="1"/>
  <c r="M373" i="10"/>
  <c r="M8" i="10" s="1"/>
  <c r="M374" i="10"/>
  <c r="M9" i="10" s="1"/>
  <c r="P377" i="10"/>
  <c r="P12" i="10" s="1"/>
  <c r="P378" i="10"/>
  <c r="P13" i="10" s="1"/>
  <c r="O380" i="10"/>
  <c r="O15" i="10" s="1"/>
  <c r="O381" i="10"/>
  <c r="O16" i="10" s="1"/>
  <c r="N384" i="10"/>
  <c r="N19" i="10" s="1"/>
  <c r="N385" i="10"/>
  <c r="N20" i="10" s="1"/>
  <c r="M388" i="10"/>
  <c r="M389" i="10"/>
  <c r="P392" i="10"/>
  <c r="P27" i="10" s="1"/>
  <c r="P393" i="10"/>
  <c r="P28" i="10" s="1"/>
  <c r="O396" i="10"/>
  <c r="O31" i="10" s="1"/>
  <c r="O397" i="10"/>
  <c r="O32" i="10" s="1"/>
  <c r="P369" i="10"/>
  <c r="P4" i="10" s="1"/>
  <c r="P370" i="10"/>
  <c r="P5" i="10" s="1"/>
  <c r="O373" i="10"/>
  <c r="O8" i="10" s="1"/>
  <c r="O374" i="10"/>
  <c r="O9" i="10" s="1"/>
  <c r="N377" i="10"/>
  <c r="N12" i="10" s="1"/>
  <c r="N378" i="10"/>
  <c r="N13" i="10" s="1"/>
  <c r="M380" i="10"/>
  <c r="M15" i="10" s="1"/>
  <c r="M381" i="10"/>
  <c r="P384" i="10"/>
  <c r="P19" i="10" s="1"/>
  <c r="P385" i="10"/>
  <c r="P20" i="10" s="1"/>
  <c r="O388" i="10"/>
  <c r="O23" i="10" s="1"/>
  <c r="O389" i="10"/>
  <c r="O24" i="10" s="1"/>
  <c r="N392" i="10"/>
  <c r="N27" i="10" s="1"/>
  <c r="N393" i="10"/>
  <c r="N28" i="10" s="1"/>
  <c r="M396" i="10"/>
  <c r="M397" i="10"/>
  <c r="O369" i="10"/>
  <c r="O4" i="10" s="1"/>
  <c r="N373" i="10"/>
  <c r="N8" i="10" s="1"/>
  <c r="M377" i="10"/>
  <c r="M12" i="10" s="1"/>
  <c r="P380" i="10"/>
  <c r="P15" i="10" s="1"/>
  <c r="O384" i="10"/>
  <c r="O19" i="10" s="1"/>
  <c r="N388" i="10"/>
  <c r="N23" i="10" s="1"/>
  <c r="M392" i="10"/>
  <c r="P397" i="10"/>
  <c r="P32" i="10" s="1"/>
  <c r="N399" i="10"/>
  <c r="N34" i="10" s="1"/>
  <c r="P399" i="10"/>
  <c r="P34" i="10" s="1"/>
  <c r="M401" i="10"/>
  <c r="M36" i="10" s="1"/>
  <c r="O401" i="10"/>
  <c r="O36" i="10" s="1"/>
  <c r="N403" i="10"/>
  <c r="N38" i="10" s="1"/>
  <c r="P403" i="10"/>
  <c r="P38" i="10" s="1"/>
  <c r="M405" i="10"/>
  <c r="M40" i="10" s="1"/>
  <c r="O405" i="10"/>
  <c r="O40" i="10" s="1"/>
  <c r="N407" i="10"/>
  <c r="N42" i="10" s="1"/>
  <c r="P407" i="10"/>
  <c r="P42" i="10" s="1"/>
  <c r="M409" i="10"/>
  <c r="M44" i="10" s="1"/>
  <c r="O409" i="10"/>
  <c r="O44" i="10" s="1"/>
  <c r="M412" i="10"/>
  <c r="M47" i="10" s="1"/>
  <c r="O412" i="10"/>
  <c r="O47" i="10" s="1"/>
  <c r="N414" i="10"/>
  <c r="N49" i="10" s="1"/>
  <c r="P414" i="10"/>
  <c r="P49" i="10" s="1"/>
  <c r="M416" i="10"/>
  <c r="M51" i="10" s="1"/>
  <c r="O416" i="10"/>
  <c r="O51" i="10" s="1"/>
  <c r="N418" i="10"/>
  <c r="N53" i="10" s="1"/>
  <c r="P418" i="10"/>
  <c r="P53" i="10" s="1"/>
  <c r="M420" i="10"/>
  <c r="M55" i="10" s="1"/>
  <c r="O420" i="10"/>
  <c r="O55" i="10" s="1"/>
  <c r="N422" i="10"/>
  <c r="N57" i="10" s="1"/>
  <c r="P422" i="10"/>
  <c r="P57" i="10" s="1"/>
  <c r="M424" i="10"/>
  <c r="M59" i="10" s="1"/>
  <c r="O424" i="10"/>
  <c r="O59" i="10" s="1"/>
  <c r="O370" i="10"/>
  <c r="O5" i="10" s="1"/>
  <c r="N374" i="10"/>
  <c r="N9" i="10" s="1"/>
  <c r="M378" i="10"/>
  <c r="P381" i="10"/>
  <c r="P16" i="10" s="1"/>
  <c r="O385" i="10"/>
  <c r="O20" i="10" s="1"/>
  <c r="N389" i="10"/>
  <c r="N24" i="10" s="1"/>
  <c r="M393" i="10"/>
  <c r="P396" i="10"/>
  <c r="P31" i="10" s="1"/>
  <c r="M399" i="10"/>
  <c r="M34" i="10" s="1"/>
  <c r="O399" i="10"/>
  <c r="O34" i="10" s="1"/>
  <c r="N401" i="10"/>
  <c r="N36" i="10" s="1"/>
  <c r="P401" i="10"/>
  <c r="P36" i="10" s="1"/>
  <c r="M403" i="10"/>
  <c r="M38" i="10" s="1"/>
  <c r="O403" i="10"/>
  <c r="O38" i="10" s="1"/>
  <c r="N405" i="10"/>
  <c r="N40" i="10" s="1"/>
  <c r="P405" i="10"/>
  <c r="P40" i="10" s="1"/>
  <c r="M407" i="10"/>
  <c r="M42" i="10" s="1"/>
  <c r="O407" i="10"/>
  <c r="O42" i="10" s="1"/>
  <c r="N409" i="10"/>
  <c r="N44" i="10" s="1"/>
  <c r="P409" i="10"/>
  <c r="P44" i="10" s="1"/>
  <c r="M411" i="10"/>
  <c r="N412" i="10"/>
  <c r="N47" i="10" s="1"/>
  <c r="P412" i="10"/>
  <c r="P47" i="10" s="1"/>
  <c r="M414" i="10"/>
  <c r="M49" i="10" s="1"/>
  <c r="O414" i="10"/>
  <c r="O49" i="10" s="1"/>
  <c r="N416" i="10"/>
  <c r="N51" i="10" s="1"/>
  <c r="P416" i="10"/>
  <c r="P51" i="10" s="1"/>
  <c r="M418" i="10"/>
  <c r="M53" i="10" s="1"/>
  <c r="O418" i="10"/>
  <c r="O53" i="10" s="1"/>
  <c r="N420" i="10"/>
  <c r="N55" i="10" s="1"/>
  <c r="P420" i="10"/>
  <c r="P55" i="10" s="1"/>
  <c r="M422" i="10"/>
  <c r="M57" i="10" s="1"/>
  <c r="O422" i="10"/>
  <c r="O57" i="10" s="1"/>
  <c r="N424" i="10"/>
  <c r="N59" i="10" s="1"/>
  <c r="P424" i="10"/>
  <c r="P59" i="10" s="1"/>
  <c r="P374" i="10"/>
  <c r="P9" i="10" s="1"/>
  <c r="O378" i="10"/>
  <c r="O13" i="10" s="1"/>
  <c r="P389" i="10"/>
  <c r="P24" i="10" s="1"/>
  <c r="O393" i="10"/>
  <c r="O28" i="10" s="1"/>
  <c r="N397" i="10"/>
  <c r="N32" i="10" s="1"/>
  <c r="O398" i="10"/>
  <c r="O33" i="10" s="1"/>
  <c r="N400" i="10"/>
  <c r="N35" i="10" s="1"/>
  <c r="M402" i="10"/>
  <c r="P404" i="10"/>
  <c r="P39" i="10" s="1"/>
  <c r="O406" i="10"/>
  <c r="O41" i="10" s="1"/>
  <c r="N408" i="10"/>
  <c r="N43" i="10" s="1"/>
  <c r="M410" i="10"/>
  <c r="P411" i="10"/>
  <c r="P46" i="10" s="1"/>
  <c r="O413" i="10"/>
  <c r="O48" i="10" s="1"/>
  <c r="N415" i="10"/>
  <c r="N50" i="10" s="1"/>
  <c r="M417" i="10"/>
  <c r="M52" i="10" s="1"/>
  <c r="P419" i="10"/>
  <c r="P54" i="10" s="1"/>
  <c r="O421" i="10"/>
  <c r="O56" i="10" s="1"/>
  <c r="N423" i="10"/>
  <c r="N58" i="10" s="1"/>
  <c r="M425" i="10"/>
  <c r="M60" i="10" s="1"/>
  <c r="M369" i="10"/>
  <c r="N380" i="10"/>
  <c r="N15" i="10" s="1"/>
  <c r="M384" i="10"/>
  <c r="M398" i="10"/>
  <c r="P400" i="10"/>
  <c r="P35" i="10" s="1"/>
  <c r="O402" i="10"/>
  <c r="O37" i="10" s="1"/>
  <c r="N404" i="10"/>
  <c r="N39" i="10" s="1"/>
  <c r="M406" i="10"/>
  <c r="P408" i="10"/>
  <c r="P43" i="10" s="1"/>
  <c r="O410" i="10"/>
  <c r="O45" i="10" s="1"/>
  <c r="N411" i="10"/>
  <c r="N46" i="10" s="1"/>
  <c r="M413" i="10"/>
  <c r="M48" i="10" s="1"/>
  <c r="P415" i="10"/>
  <c r="P50" i="10" s="1"/>
  <c r="O417" i="10"/>
  <c r="O52" i="10" s="1"/>
  <c r="N419" i="10"/>
  <c r="N54" i="10" s="1"/>
  <c r="M421" i="10"/>
  <c r="M56" i="10" s="1"/>
  <c r="P423" i="10"/>
  <c r="P58" i="10" s="1"/>
  <c r="O425" i="10"/>
  <c r="O60" i="10" s="1"/>
  <c r="N426" i="10"/>
  <c r="N61" i="10" s="1"/>
  <c r="P426" i="10"/>
  <c r="P61" i="10" s="1"/>
  <c r="M428" i="10"/>
  <c r="M63" i="10" s="1"/>
  <c r="O428" i="10"/>
  <c r="O63" i="10" s="1"/>
  <c r="N430" i="10"/>
  <c r="N65" i="10" s="1"/>
  <c r="P430" i="10"/>
  <c r="P65" i="10" s="1"/>
  <c r="O431" i="10"/>
  <c r="O66" i="10" s="1"/>
  <c r="N433" i="10"/>
  <c r="N68" i="10" s="1"/>
  <c r="P433" i="10"/>
  <c r="P68" i="10" s="1"/>
  <c r="M435" i="10"/>
  <c r="M70" i="10" s="1"/>
  <c r="O435" i="10"/>
  <c r="O70" i="10" s="1"/>
  <c r="N437" i="10"/>
  <c r="N72" i="10" s="1"/>
  <c r="P437" i="10"/>
  <c r="P72" i="10" s="1"/>
  <c r="M439" i="10"/>
  <c r="O439" i="10"/>
  <c r="O74" i="10" s="1"/>
  <c r="N441" i="10"/>
  <c r="N76" i="10" s="1"/>
  <c r="P441" i="10"/>
  <c r="P76" i="10" s="1"/>
  <c r="M443" i="10"/>
  <c r="M78" i="10" s="1"/>
  <c r="O443" i="10"/>
  <c r="O78" i="10" s="1"/>
  <c r="P373" i="10"/>
  <c r="P8" i="10" s="1"/>
  <c r="N381" i="10"/>
  <c r="N16" i="10" s="1"/>
  <c r="P388" i="10"/>
  <c r="P23" i="10" s="1"/>
  <c r="N396" i="10"/>
  <c r="N31" i="10" s="1"/>
  <c r="P402" i="10"/>
  <c r="P37" i="10" s="1"/>
  <c r="O404" i="10"/>
  <c r="O39" i="10" s="1"/>
  <c r="N406" i="10"/>
  <c r="N41" i="10" s="1"/>
  <c r="M408" i="10"/>
  <c r="O411" i="10"/>
  <c r="O46" i="10" s="1"/>
  <c r="N413" i="10"/>
  <c r="N48" i="10" s="1"/>
  <c r="M415" i="10"/>
  <c r="P425" i="10"/>
  <c r="P60" i="10" s="1"/>
  <c r="O427" i="10"/>
  <c r="O62" i="10" s="1"/>
  <c r="P428" i="10"/>
  <c r="P63" i="10" s="1"/>
  <c r="N429" i="10"/>
  <c r="N64" i="10" s="1"/>
  <c r="O430" i="10"/>
  <c r="O65" i="10" s="1"/>
  <c r="M431" i="10"/>
  <c r="P432" i="10"/>
  <c r="P67" i="10" s="1"/>
  <c r="O434" i="10"/>
  <c r="O69" i="10" s="1"/>
  <c r="P435" i="10"/>
  <c r="P70" i="10" s="1"/>
  <c r="N436" i="10"/>
  <c r="N71" i="10" s="1"/>
  <c r="O437" i="10"/>
  <c r="O72" i="10" s="1"/>
  <c r="M438" i="10"/>
  <c r="M73" i="10" s="1"/>
  <c r="P438" i="10"/>
  <c r="P73" i="10" s="1"/>
  <c r="N439" i="10"/>
  <c r="N74" i="10" s="1"/>
  <c r="O440" i="10"/>
  <c r="O75" i="10" s="1"/>
  <c r="M441" i="10"/>
  <c r="M76" i="10" s="1"/>
  <c r="N442" i="10"/>
  <c r="N77" i="10" s="1"/>
  <c r="M444" i="10"/>
  <c r="M79" i="10" s="1"/>
  <c r="M445" i="10"/>
  <c r="O445" i="10"/>
  <c r="O80" i="10" s="1"/>
  <c r="N447" i="10"/>
  <c r="N82" i="10" s="1"/>
  <c r="P447" i="10"/>
  <c r="P82" i="10" s="1"/>
  <c r="M449" i="10"/>
  <c r="O449" i="10"/>
  <c r="O84" i="10" s="1"/>
  <c r="N451" i="10"/>
  <c r="N86" i="10" s="1"/>
  <c r="P451" i="10"/>
  <c r="P86" i="10" s="1"/>
  <c r="M453" i="10"/>
  <c r="O453" i="10"/>
  <c r="O88" i="10" s="1"/>
  <c r="N455" i="10"/>
  <c r="N90" i="10" s="1"/>
  <c r="P455" i="10"/>
  <c r="P90" i="10" s="1"/>
  <c r="M458" i="10"/>
  <c r="M93" i="10" s="1"/>
  <c r="O458" i="10"/>
  <c r="O93" i="10" s="1"/>
  <c r="N460" i="10"/>
  <c r="N95" i="10" s="1"/>
  <c r="P460" i="10"/>
  <c r="P95" i="10" s="1"/>
  <c r="N461" i="10"/>
  <c r="N96" i="10" s="1"/>
  <c r="P461" i="10"/>
  <c r="P96" i="10" s="1"/>
  <c r="M464" i="10"/>
  <c r="O464" i="10"/>
  <c r="O99" i="10" s="1"/>
  <c r="M465" i="10"/>
  <c r="O465" i="10"/>
  <c r="O100" i="10" s="1"/>
  <c r="N468" i="10"/>
  <c r="N103" i="10" s="1"/>
  <c r="P468" i="10"/>
  <c r="P103" i="10" s="1"/>
  <c r="N469" i="10"/>
  <c r="N104" i="10" s="1"/>
  <c r="P469" i="10"/>
  <c r="P104" i="10" s="1"/>
  <c r="M472" i="10"/>
  <c r="O472" i="10"/>
  <c r="O107" i="10" s="1"/>
  <c r="M473" i="10"/>
  <c r="O473" i="10"/>
  <c r="O108" i="10" s="1"/>
  <c r="N476" i="10"/>
  <c r="N111" i="10" s="1"/>
  <c r="P476" i="10"/>
  <c r="P111" i="10" s="1"/>
  <c r="N477" i="10"/>
  <c r="N112" i="10" s="1"/>
  <c r="P477" i="10"/>
  <c r="P112" i="10" s="1"/>
  <c r="M480" i="10"/>
  <c r="O480" i="10"/>
  <c r="O115" i="10" s="1"/>
  <c r="M481" i="10"/>
  <c r="M116" i="10" s="1"/>
  <c r="O481" i="10"/>
  <c r="O116" i="10" s="1"/>
  <c r="N484" i="10"/>
  <c r="N119" i="10" s="1"/>
  <c r="P484" i="10"/>
  <c r="P119" i="10" s="1"/>
  <c r="N485" i="10"/>
  <c r="N120" i="10" s="1"/>
  <c r="P485" i="10"/>
  <c r="P120" i="10" s="1"/>
  <c r="M486" i="10"/>
  <c r="M121" i="10" s="1"/>
  <c r="O486" i="10"/>
  <c r="O121" i="10" s="1"/>
  <c r="P122" i="10"/>
  <c r="O123" i="10"/>
  <c r="N124" i="10"/>
  <c r="M125" i="10"/>
  <c r="P126" i="10"/>
  <c r="O127" i="10"/>
  <c r="N128" i="10"/>
  <c r="M129" i="10"/>
  <c r="P130" i="10"/>
  <c r="O131" i="10"/>
  <c r="N132" i="10"/>
  <c r="M133" i="10"/>
  <c r="P134" i="10"/>
  <c r="O135" i="10"/>
  <c r="N136" i="10"/>
  <c r="M137" i="10"/>
  <c r="P138" i="10"/>
  <c r="O139" i="10"/>
  <c r="N140" i="10"/>
  <c r="M141" i="10"/>
  <c r="P141" i="10"/>
  <c r="O142" i="10"/>
  <c r="M370" i="10"/>
  <c r="O377" i="10"/>
  <c r="O12" i="10" s="1"/>
  <c r="M385" i="10"/>
  <c r="O392" i="10"/>
  <c r="O27" i="10" s="1"/>
  <c r="N398" i="10"/>
  <c r="N33" i="10" s="1"/>
  <c r="M400" i="10"/>
  <c r="P410" i="10"/>
  <c r="P45" i="10" s="1"/>
  <c r="P417" i="10"/>
  <c r="P52" i="10" s="1"/>
  <c r="O419" i="10"/>
  <c r="O54" i="10" s="1"/>
  <c r="N421" i="10"/>
  <c r="N56" i="10" s="1"/>
  <c r="M423" i="10"/>
  <c r="M426" i="10"/>
  <c r="M61" i="10" s="1"/>
  <c r="N427" i="10"/>
  <c r="N62" i="10" s="1"/>
  <c r="M429" i="10"/>
  <c r="M64" i="10" s="1"/>
  <c r="O432" i="10"/>
  <c r="O67" i="10" s="1"/>
  <c r="M433" i="10"/>
  <c r="M68" i="10" s="1"/>
  <c r="N434" i="10"/>
  <c r="N69" i="10" s="1"/>
  <c r="M436" i="10"/>
  <c r="M71" i="10" s="1"/>
  <c r="P440" i="10"/>
  <c r="P75" i="10" s="1"/>
  <c r="O442" i="10"/>
  <c r="O77" i="10" s="1"/>
  <c r="P443" i="10"/>
  <c r="P78" i="10" s="1"/>
  <c r="N444" i="10"/>
  <c r="N79" i="10" s="1"/>
  <c r="N445" i="10"/>
  <c r="N80" i="10" s="1"/>
  <c r="P445" i="10"/>
  <c r="P80" i="10" s="1"/>
  <c r="M447" i="10"/>
  <c r="O447" i="10"/>
  <c r="O82" i="10" s="1"/>
  <c r="N449" i="10"/>
  <c r="N84" i="10" s="1"/>
  <c r="P449" i="10"/>
  <c r="P84" i="10" s="1"/>
  <c r="M451" i="10"/>
  <c r="O451" i="10"/>
  <c r="O86" i="10" s="1"/>
  <c r="N453" i="10"/>
  <c r="N88" i="10" s="1"/>
  <c r="P453" i="10"/>
  <c r="P88" i="10" s="1"/>
  <c r="M455" i="10"/>
  <c r="O455" i="10"/>
  <c r="O90" i="10" s="1"/>
  <c r="N458" i="10"/>
  <c r="N93" i="10" s="1"/>
  <c r="P458" i="10"/>
  <c r="P93" i="10" s="1"/>
  <c r="M460" i="10"/>
  <c r="M95" i="10" s="1"/>
  <c r="O460" i="10"/>
  <c r="O95" i="10" s="1"/>
  <c r="M461" i="10"/>
  <c r="O461" i="10"/>
  <c r="O96" i="10" s="1"/>
  <c r="N464" i="10"/>
  <c r="N99" i="10" s="1"/>
  <c r="P464" i="10"/>
  <c r="P99" i="10" s="1"/>
  <c r="N465" i="10"/>
  <c r="N100" i="10" s="1"/>
  <c r="P465" i="10"/>
  <c r="P100" i="10" s="1"/>
  <c r="M468" i="10"/>
  <c r="O468" i="10"/>
  <c r="O103" i="10" s="1"/>
  <c r="M469" i="10"/>
  <c r="O469" i="10"/>
  <c r="O104" i="10" s="1"/>
  <c r="N472" i="10"/>
  <c r="N107" i="10" s="1"/>
  <c r="P472" i="10"/>
  <c r="P107" i="10" s="1"/>
  <c r="N473" i="10"/>
  <c r="N108" i="10" s="1"/>
  <c r="P473" i="10"/>
  <c r="P108" i="10" s="1"/>
  <c r="M476" i="10"/>
  <c r="O476" i="10"/>
  <c r="O111" i="10" s="1"/>
  <c r="M477" i="10"/>
  <c r="O477" i="10"/>
  <c r="O112" i="10" s="1"/>
  <c r="N480" i="10"/>
  <c r="N115" i="10" s="1"/>
  <c r="P480" i="10"/>
  <c r="P115" i="10" s="1"/>
  <c r="N481" i="10"/>
  <c r="N116" i="10" s="1"/>
  <c r="P481" i="10"/>
  <c r="P116" i="10" s="1"/>
  <c r="M484" i="10"/>
  <c r="O484" i="10"/>
  <c r="O119" i="10" s="1"/>
  <c r="M485" i="10"/>
  <c r="O485" i="10"/>
  <c r="O120" i="10" s="1"/>
  <c r="N486" i="10"/>
  <c r="N121" i="10" s="1"/>
  <c r="P486" i="10"/>
  <c r="P121" i="10" s="1"/>
  <c r="N122" i="10"/>
  <c r="M123" i="10"/>
  <c r="P124" i="10"/>
  <c r="O125" i="10"/>
  <c r="N126" i="10"/>
  <c r="M127" i="10"/>
  <c r="P128" i="10"/>
  <c r="O129" i="10"/>
  <c r="N130" i="10"/>
  <c r="M131" i="10"/>
  <c r="P132" i="10"/>
  <c r="O133" i="10"/>
  <c r="N134" i="10"/>
  <c r="M135" i="10"/>
  <c r="P136" i="10"/>
  <c r="O137" i="10"/>
  <c r="N138" i="10"/>
  <c r="M139" i="10"/>
  <c r="P140" i="10"/>
  <c r="O141" i="10"/>
  <c r="P406" i="10"/>
  <c r="P41" i="10" s="1"/>
  <c r="N410" i="10"/>
  <c r="N45" i="10" s="1"/>
  <c r="P413" i="10"/>
  <c r="P48" i="10" s="1"/>
  <c r="N417" i="10"/>
  <c r="N52" i="10" s="1"/>
  <c r="P429" i="10"/>
  <c r="P64" i="10" s="1"/>
  <c r="P431" i="10"/>
  <c r="P66" i="10" s="1"/>
  <c r="M434" i="10"/>
  <c r="N435" i="10"/>
  <c r="N70" i="10" s="1"/>
  <c r="O436" i="10"/>
  <c r="O71" i="10" s="1"/>
  <c r="M440" i="10"/>
  <c r="P444" i="10"/>
  <c r="P79" i="10" s="1"/>
  <c r="O446" i="10"/>
  <c r="O81" i="10" s="1"/>
  <c r="N448" i="10"/>
  <c r="N83" i="10" s="1"/>
  <c r="M450" i="10"/>
  <c r="P452" i="10"/>
  <c r="P87" i="10" s="1"/>
  <c r="O454" i="10"/>
  <c r="O89" i="10" s="1"/>
  <c r="N456" i="10"/>
  <c r="N91" i="10" s="1"/>
  <c r="M457" i="10"/>
  <c r="M92" i="10" s="1"/>
  <c r="P459" i="10"/>
  <c r="P94" i="10" s="1"/>
  <c r="O462" i="10"/>
  <c r="O97" i="10" s="1"/>
  <c r="O463" i="10"/>
  <c r="O98" i="10" s="1"/>
  <c r="N466" i="10"/>
  <c r="N101" i="10" s="1"/>
  <c r="N467" i="10"/>
  <c r="N102" i="10" s="1"/>
  <c r="M470" i="10"/>
  <c r="M471" i="10"/>
  <c r="M106" i="10" s="1"/>
  <c r="P474" i="10"/>
  <c r="P109" i="10" s="1"/>
  <c r="P475" i="10"/>
  <c r="P110" i="10" s="1"/>
  <c r="O478" i="10"/>
  <c r="O113" i="10" s="1"/>
  <c r="O479" i="10"/>
  <c r="O114" i="10" s="1"/>
  <c r="N482" i="10"/>
  <c r="N117" i="10" s="1"/>
  <c r="N483" i="10"/>
  <c r="N118" i="10" s="1"/>
  <c r="O124" i="10"/>
  <c r="M126" i="10"/>
  <c r="P127" i="10"/>
  <c r="N129" i="10"/>
  <c r="O132" i="10"/>
  <c r="M134" i="10"/>
  <c r="P135" i="10"/>
  <c r="N137" i="10"/>
  <c r="O140" i="10"/>
  <c r="P143" i="10"/>
  <c r="O144" i="10"/>
  <c r="N145" i="10"/>
  <c r="M146" i="10"/>
  <c r="P147" i="10"/>
  <c r="O148" i="10"/>
  <c r="N149" i="10"/>
  <c r="M150" i="10"/>
  <c r="P151" i="10"/>
  <c r="M152" i="10"/>
  <c r="P153" i="10"/>
  <c r="O154" i="10"/>
  <c r="N155" i="10"/>
  <c r="M156" i="10"/>
  <c r="P157" i="10"/>
  <c r="O158" i="10"/>
  <c r="N159" i="10"/>
  <c r="M160" i="10"/>
  <c r="P161" i="10"/>
  <c r="O162" i="10"/>
  <c r="N163" i="10"/>
  <c r="M164" i="10"/>
  <c r="P165" i="10"/>
  <c r="O166" i="10"/>
  <c r="N167" i="10"/>
  <c r="M168" i="10"/>
  <c r="P169" i="10"/>
  <c r="O170" i="10"/>
  <c r="N171" i="10"/>
  <c r="M172" i="10"/>
  <c r="P173" i="10"/>
  <c r="O174" i="10"/>
  <c r="N175" i="10"/>
  <c r="M176" i="10"/>
  <c r="P177" i="10"/>
  <c r="O178" i="10"/>
  <c r="N179" i="10"/>
  <c r="M180" i="10"/>
  <c r="P181" i="10"/>
  <c r="M182" i="10"/>
  <c r="P183" i="10"/>
  <c r="O184" i="10"/>
  <c r="N185" i="10"/>
  <c r="M186" i="10"/>
  <c r="P187" i="10"/>
  <c r="O188" i="10"/>
  <c r="N189" i="10"/>
  <c r="M190" i="10"/>
  <c r="P191" i="10"/>
  <c r="O192" i="10"/>
  <c r="N193" i="10"/>
  <c r="M194" i="10"/>
  <c r="P195" i="10"/>
  <c r="O196" i="10"/>
  <c r="N197" i="10"/>
  <c r="M198" i="10"/>
  <c r="P199" i="10"/>
  <c r="O200" i="10"/>
  <c r="N201" i="10"/>
  <c r="M202" i="10"/>
  <c r="P203" i="10"/>
  <c r="O204" i="10"/>
  <c r="N205" i="10"/>
  <c r="M206" i="10"/>
  <c r="P207" i="10"/>
  <c r="O208" i="10"/>
  <c r="N209" i="10"/>
  <c r="M210" i="10"/>
  <c r="P211" i="10"/>
  <c r="O212" i="10"/>
  <c r="P213" i="10"/>
  <c r="O214" i="10"/>
  <c r="N215" i="10"/>
  <c r="M216" i="10"/>
  <c r="P217" i="10"/>
  <c r="O218" i="10"/>
  <c r="N219" i="10"/>
  <c r="M220" i="10"/>
  <c r="P221" i="10"/>
  <c r="O222" i="10"/>
  <c r="N223" i="10"/>
  <c r="M224" i="10"/>
  <c r="P225" i="10"/>
  <c r="O226" i="10"/>
  <c r="N227" i="10"/>
  <c r="O408" i="10"/>
  <c r="O43" i="10" s="1"/>
  <c r="O415" i="10"/>
  <c r="O50" i="10" s="1"/>
  <c r="M419" i="10"/>
  <c r="N432" i="10"/>
  <c r="N67" i="10" s="1"/>
  <c r="O433" i="10"/>
  <c r="O68" i="10" s="1"/>
  <c r="P434" i="10"/>
  <c r="P69" i="10" s="1"/>
  <c r="M437" i="10"/>
  <c r="M72" i="10" s="1"/>
  <c r="N438" i="10"/>
  <c r="N73" i="10" s="1"/>
  <c r="M446" i="10"/>
  <c r="P448" i="10"/>
  <c r="P83" i="10" s="1"/>
  <c r="O450" i="10"/>
  <c r="O85" i="10" s="1"/>
  <c r="N452" i="10"/>
  <c r="N87" i="10" s="1"/>
  <c r="M454" i="10"/>
  <c r="P456" i="10"/>
  <c r="P91" i="10" s="1"/>
  <c r="O457" i="10"/>
  <c r="O92" i="10" s="1"/>
  <c r="N459" i="10"/>
  <c r="N94" i="10" s="1"/>
  <c r="M462" i="10"/>
  <c r="M463" i="10"/>
  <c r="M98" i="10" s="1"/>
  <c r="P466" i="10"/>
  <c r="P101" i="10" s="1"/>
  <c r="P467" i="10"/>
  <c r="P102" i="10" s="1"/>
  <c r="O470" i="10"/>
  <c r="O105" i="10" s="1"/>
  <c r="O471" i="10"/>
  <c r="O106" i="10" s="1"/>
  <c r="N474" i="10"/>
  <c r="N109" i="10" s="1"/>
  <c r="N475" i="10"/>
  <c r="N110" i="10" s="1"/>
  <c r="M478" i="10"/>
  <c r="M479" i="10"/>
  <c r="M114" i="10" s="1"/>
  <c r="P482" i="10"/>
  <c r="P117" i="10" s="1"/>
  <c r="P483" i="10"/>
  <c r="P118" i="10" s="1"/>
  <c r="M122" i="10"/>
  <c r="P123" i="10"/>
  <c r="N125" i="10"/>
  <c r="O128" i="10"/>
  <c r="M130" i="10"/>
  <c r="P131" i="10"/>
  <c r="N133" i="10"/>
  <c r="O136" i="10"/>
  <c r="M138" i="10"/>
  <c r="P139" i="10"/>
  <c r="N141" i="10"/>
  <c r="N142" i="10"/>
  <c r="N143" i="10"/>
  <c r="M144" i="10"/>
  <c r="P145" i="10"/>
  <c r="O146" i="10"/>
  <c r="N147" i="10"/>
  <c r="M148" i="10"/>
  <c r="P149" i="10"/>
  <c r="O150" i="10"/>
  <c r="N151" i="10"/>
  <c r="O152" i="10"/>
  <c r="N153" i="10"/>
  <c r="M154" i="10"/>
  <c r="P155" i="10"/>
  <c r="O156" i="10"/>
  <c r="N157" i="10"/>
  <c r="M158" i="10"/>
  <c r="P159" i="10"/>
  <c r="O160" i="10"/>
  <c r="N161" i="10"/>
  <c r="M162" i="10"/>
  <c r="P163" i="10"/>
  <c r="O164" i="10"/>
  <c r="N165" i="10"/>
  <c r="M166" i="10"/>
  <c r="P167" i="10"/>
  <c r="O168" i="10"/>
  <c r="N169" i="10"/>
  <c r="M170" i="10"/>
  <c r="P171" i="10"/>
  <c r="O172" i="10"/>
  <c r="N173" i="10"/>
  <c r="M174" i="10"/>
  <c r="P175" i="10"/>
  <c r="O176" i="10"/>
  <c r="N177" i="10"/>
  <c r="M178" i="10"/>
  <c r="P179" i="10"/>
  <c r="O180" i="10"/>
  <c r="N181" i="10"/>
  <c r="O182" i="10"/>
  <c r="N183" i="10"/>
  <c r="M184" i="10"/>
  <c r="P185" i="10"/>
  <c r="O186" i="10"/>
  <c r="N187" i="10"/>
  <c r="M188" i="10"/>
  <c r="P189" i="10"/>
  <c r="O190" i="10"/>
  <c r="N191" i="10"/>
  <c r="M192" i="10"/>
  <c r="P193" i="10"/>
  <c r="O194" i="10"/>
  <c r="N195" i="10"/>
  <c r="M196" i="10"/>
  <c r="P197" i="10"/>
  <c r="O198" i="10"/>
  <c r="N199" i="10"/>
  <c r="M200" i="10"/>
  <c r="P201" i="10"/>
  <c r="O202" i="10"/>
  <c r="N203" i="10"/>
  <c r="M204" i="10"/>
  <c r="P205" i="10"/>
  <c r="O206" i="10"/>
  <c r="N207" i="10"/>
  <c r="M208" i="10"/>
  <c r="P209" i="10"/>
  <c r="O210" i="10"/>
  <c r="N211" i="10"/>
  <c r="M212" i="10"/>
  <c r="N402" i="10"/>
  <c r="N37" i="10" s="1"/>
  <c r="O423" i="10"/>
  <c r="O58" i="10" s="1"/>
  <c r="P427" i="10"/>
  <c r="P62" i="10" s="1"/>
  <c r="M430" i="10"/>
  <c r="O438" i="10"/>
  <c r="O73" i="10" s="1"/>
  <c r="N443" i="10"/>
  <c r="N78" i="10" s="1"/>
  <c r="P450" i="10"/>
  <c r="P85" i="10" s="1"/>
  <c r="O452" i="10"/>
  <c r="O87" i="10" s="1"/>
  <c r="N454" i="10"/>
  <c r="N89" i="10" s="1"/>
  <c r="M456" i="10"/>
  <c r="N457" i="10"/>
  <c r="N92" i="10" s="1"/>
  <c r="M459" i="10"/>
  <c r="P462" i="10"/>
  <c r="P97" i="10" s="1"/>
  <c r="O466" i="10"/>
  <c r="O101" i="10" s="1"/>
  <c r="N470" i="10"/>
  <c r="N105" i="10" s="1"/>
  <c r="M474" i="10"/>
  <c r="P479" i="10"/>
  <c r="P114" i="10" s="1"/>
  <c r="O483" i="10"/>
  <c r="O118" i="10" s="1"/>
  <c r="N123" i="10"/>
  <c r="O126" i="10"/>
  <c r="P129" i="10"/>
  <c r="M136" i="10"/>
  <c r="N139" i="10"/>
  <c r="M142" i="10"/>
  <c r="O145" i="10"/>
  <c r="M147" i="10"/>
  <c r="P148" i="10"/>
  <c r="N150" i="10"/>
  <c r="P398" i="10"/>
  <c r="P33" i="10" s="1"/>
  <c r="O426" i="10"/>
  <c r="O61" i="10" s="1"/>
  <c r="N431" i="10"/>
  <c r="N66" i="10" s="1"/>
  <c r="P439" i="10"/>
  <c r="P74" i="10" s="1"/>
  <c r="M442" i="10"/>
  <c r="O444" i="10"/>
  <c r="O79" i="10" s="1"/>
  <c r="N446" i="10"/>
  <c r="N81" i="10" s="1"/>
  <c r="M448" i="10"/>
  <c r="M83" i="10" s="1"/>
  <c r="P463" i="10"/>
  <c r="P98" i="10" s="1"/>
  <c r="O467" i="10"/>
  <c r="O102" i="10" s="1"/>
  <c r="N471" i="10"/>
  <c r="N106" i="10" s="1"/>
  <c r="M475" i="10"/>
  <c r="M110" i="10" s="1"/>
  <c r="P478" i="10"/>
  <c r="P113" i="10" s="1"/>
  <c r="O482" i="10"/>
  <c r="O117" i="10" s="1"/>
  <c r="M128" i="10"/>
  <c r="N131" i="10"/>
  <c r="O134" i="10"/>
  <c r="P137" i="10"/>
  <c r="M143" i="10"/>
  <c r="P144" i="10"/>
  <c r="N146" i="10"/>
  <c r="O149" i="10"/>
  <c r="M151" i="10"/>
  <c r="P152" i="10"/>
  <c r="N154" i="10"/>
  <c r="O157" i="10"/>
  <c r="M159" i="10"/>
  <c r="P160" i="10"/>
  <c r="N162" i="10"/>
  <c r="O165" i="10"/>
  <c r="M167" i="10"/>
  <c r="P168" i="10"/>
  <c r="N170" i="10"/>
  <c r="O173" i="10"/>
  <c r="M175" i="10"/>
  <c r="P176" i="10"/>
  <c r="N178" i="10"/>
  <c r="O181" i="10"/>
  <c r="M183" i="10"/>
  <c r="P184" i="10"/>
  <c r="N186" i="10"/>
  <c r="O189" i="10"/>
  <c r="M191" i="10"/>
  <c r="P192" i="10"/>
  <c r="N194" i="10"/>
  <c r="O197" i="10"/>
  <c r="M199" i="10"/>
  <c r="P200" i="10"/>
  <c r="N202" i="10"/>
  <c r="O205" i="10"/>
  <c r="M207" i="10"/>
  <c r="P208" i="10"/>
  <c r="N210" i="10"/>
  <c r="M213" i="10"/>
  <c r="M214" i="10"/>
  <c r="M215" i="10"/>
  <c r="N216" i="10"/>
  <c r="N217" i="10"/>
  <c r="N218" i="10"/>
  <c r="O219" i="10"/>
  <c r="O220" i="10"/>
  <c r="O221" i="10"/>
  <c r="P222" i="10"/>
  <c r="P223" i="10"/>
  <c r="P224" i="10"/>
  <c r="P228" i="10"/>
  <c r="O229" i="10"/>
  <c r="N230" i="10"/>
  <c r="M231" i="10"/>
  <c r="P232" i="10"/>
  <c r="O233" i="10"/>
  <c r="N234" i="10"/>
  <c r="M235" i="10"/>
  <c r="P236" i="10"/>
  <c r="O237" i="10"/>
  <c r="N238" i="10"/>
  <c r="M239" i="10"/>
  <c r="P240" i="10"/>
  <c r="O241" i="10"/>
  <c r="N242" i="10"/>
  <c r="M243" i="10"/>
  <c r="N244" i="10"/>
  <c r="M245" i="10"/>
  <c r="P246" i="10"/>
  <c r="O247" i="10"/>
  <c r="N248" i="10"/>
  <c r="M249" i="10"/>
  <c r="P250" i="10"/>
  <c r="O251" i="10"/>
  <c r="N252" i="10"/>
  <c r="M253" i="10"/>
  <c r="P254" i="10"/>
  <c r="O255" i="10"/>
  <c r="N256" i="10"/>
  <c r="M257" i="10"/>
  <c r="P258" i="10"/>
  <c r="O259" i="10"/>
  <c r="N260" i="10"/>
  <c r="M261" i="10"/>
  <c r="P262" i="10"/>
  <c r="O263" i="10"/>
  <c r="N264" i="10"/>
  <c r="M265" i="10"/>
  <c r="P266" i="10"/>
  <c r="O267" i="10"/>
  <c r="N268" i="10"/>
  <c r="M269" i="10"/>
  <c r="P270" i="10"/>
  <c r="O271" i="10"/>
  <c r="N272" i="10"/>
  <c r="M273" i="10"/>
  <c r="P274" i="10"/>
  <c r="N275" i="10"/>
  <c r="M276" i="10"/>
  <c r="P277" i="10"/>
  <c r="O278" i="10"/>
  <c r="N279" i="10"/>
  <c r="M280" i="10"/>
  <c r="P281" i="10"/>
  <c r="O282" i="10"/>
  <c r="N283" i="10"/>
  <c r="M284" i="10"/>
  <c r="P285" i="10"/>
  <c r="O286" i="10"/>
  <c r="N287" i="10"/>
  <c r="M288" i="10"/>
  <c r="P289" i="10"/>
  <c r="O290" i="10"/>
  <c r="N291" i="10"/>
  <c r="M292" i="10"/>
  <c r="P293" i="10"/>
  <c r="O294" i="10"/>
  <c r="N295" i="10"/>
  <c r="M296" i="10"/>
  <c r="P297" i="10"/>
  <c r="O298" i="10"/>
  <c r="N299" i="10"/>
  <c r="M300" i="10"/>
  <c r="P301" i="10"/>
  <c r="O302" i="10"/>
  <c r="N303" i="10"/>
  <c r="M304" i="10"/>
  <c r="P305" i="10"/>
  <c r="M306" i="10"/>
  <c r="P307" i="10"/>
  <c r="O308" i="10"/>
  <c r="N309" i="10"/>
  <c r="M310" i="10"/>
  <c r="P311" i="10"/>
  <c r="O312" i="10"/>
  <c r="N313" i="10"/>
  <c r="M314" i="10"/>
  <c r="P315" i="10"/>
  <c r="O316" i="10"/>
  <c r="N317" i="10"/>
  <c r="M318" i="10"/>
  <c r="P319" i="10"/>
  <c r="O320" i="10"/>
  <c r="N321" i="10"/>
  <c r="M322" i="10"/>
  <c r="P323" i="10"/>
  <c r="O324" i="10"/>
  <c r="N325" i="10"/>
  <c r="M326" i="10"/>
  <c r="P327" i="10"/>
  <c r="O328" i="10"/>
  <c r="N329" i="10"/>
  <c r="M330" i="10"/>
  <c r="P331" i="10"/>
  <c r="O332" i="10"/>
  <c r="N333" i="10"/>
  <c r="M334" i="10"/>
  <c r="P335" i="10"/>
  <c r="P336" i="10"/>
  <c r="O337" i="10"/>
  <c r="N338" i="10"/>
  <c r="M339" i="10"/>
  <c r="P340" i="10"/>
  <c r="O341" i="10"/>
  <c r="N342" i="10"/>
  <c r="M343" i="10"/>
  <c r="P344" i="10"/>
  <c r="O345" i="10"/>
  <c r="N346" i="10"/>
  <c r="M347" i="10"/>
  <c r="P348" i="10"/>
  <c r="O349" i="10"/>
  <c r="N350" i="10"/>
  <c r="M351" i="10"/>
  <c r="P352" i="10"/>
  <c r="O353" i="10"/>
  <c r="N354" i="10"/>
  <c r="M355" i="10"/>
  <c r="P356" i="10"/>
  <c r="O357" i="10"/>
  <c r="N358" i="10"/>
  <c r="M359" i="10"/>
  <c r="P360" i="10"/>
  <c r="O361" i="10"/>
  <c r="N362" i="10"/>
  <c r="M363" i="10"/>
  <c r="P364" i="10"/>
  <c r="O365" i="10"/>
  <c r="N366" i="10"/>
  <c r="O400" i="10"/>
  <c r="O35" i="10" s="1"/>
  <c r="P421" i="10"/>
  <c r="P56" i="10" s="1"/>
  <c r="M427" i="10"/>
  <c r="O429" i="10"/>
  <c r="O64" i="10" s="1"/>
  <c r="N440" i="10"/>
  <c r="N75" i="10" s="1"/>
  <c r="P442" i="10"/>
  <c r="P77" i="10" s="1"/>
  <c r="P446" i="10"/>
  <c r="P81" i="10" s="1"/>
  <c r="O448" i="10"/>
  <c r="O83" i="10" s="1"/>
  <c r="N450" i="10"/>
  <c r="N85" i="10" s="1"/>
  <c r="M452" i="10"/>
  <c r="M87" i="10" s="1"/>
  <c r="N462" i="10"/>
  <c r="N97" i="10" s="1"/>
  <c r="M466" i="10"/>
  <c r="P471" i="10"/>
  <c r="P106" i="10" s="1"/>
  <c r="O475" i="10"/>
  <c r="O110" i="10" s="1"/>
  <c r="N479" i="10"/>
  <c r="N114" i="10" s="1"/>
  <c r="M483" i="10"/>
  <c r="O122" i="10"/>
  <c r="P125" i="10"/>
  <c r="M132" i="10"/>
  <c r="N135" i="10"/>
  <c r="O138" i="10"/>
  <c r="O143" i="10"/>
  <c r="M145" i="10"/>
  <c r="P146" i="10"/>
  <c r="N148" i="10"/>
  <c r="O151" i="10"/>
  <c r="P366" i="10"/>
  <c r="M365" i="10"/>
  <c r="M364" i="10"/>
  <c r="P359" i="10"/>
  <c r="P358" i="10"/>
  <c r="P357" i="10"/>
  <c r="O356" i="10"/>
  <c r="O355" i="10"/>
  <c r="O354" i="10"/>
  <c r="N353" i="10"/>
  <c r="N352" i="10"/>
  <c r="N351" i="10"/>
  <c r="M350" i="10"/>
  <c r="M349" i="10"/>
  <c r="M348" i="10"/>
  <c r="P343" i="10"/>
  <c r="P342" i="10"/>
  <c r="P341" i="10"/>
  <c r="O340" i="10"/>
  <c r="O339" i="10"/>
  <c r="O338" i="10"/>
  <c r="N337" i="10"/>
  <c r="N336" i="10"/>
  <c r="O335" i="10"/>
  <c r="O334" i="10"/>
  <c r="O333" i="10"/>
  <c r="N332" i="10"/>
  <c r="N331" i="10"/>
  <c r="N330" i="10"/>
  <c r="M329" i="10"/>
  <c r="M328" i="10"/>
  <c r="M327" i="10"/>
  <c r="P322" i="10"/>
  <c r="P321" i="10"/>
  <c r="P320" i="10"/>
  <c r="O319" i="10"/>
  <c r="O318" i="10"/>
  <c r="O317" i="10"/>
  <c r="N316" i="10"/>
  <c r="N315" i="10"/>
  <c r="N314" i="10"/>
  <c r="M313" i="10"/>
  <c r="M312" i="10"/>
  <c r="M311" i="10"/>
  <c r="P306" i="10"/>
  <c r="N305" i="10"/>
  <c r="N304" i="10"/>
  <c r="M303" i="10"/>
  <c r="M302" i="10"/>
  <c r="M301" i="10"/>
  <c r="P296" i="10"/>
  <c r="P295" i="10"/>
  <c r="P294" i="10"/>
  <c r="O293" i="10"/>
  <c r="O292" i="10"/>
  <c r="O291" i="10"/>
  <c r="N290" i="10"/>
  <c r="N289" i="10"/>
  <c r="N288" i="10"/>
  <c r="M287" i="10"/>
  <c r="M286" i="10"/>
  <c r="M285" i="10"/>
  <c r="P280" i="10"/>
  <c r="P279" i="10"/>
  <c r="P278" i="10"/>
  <c r="O277" i="10"/>
  <c r="O276" i="10"/>
  <c r="O275" i="10"/>
  <c r="P273" i="10"/>
  <c r="P272" i="10"/>
  <c r="P271" i="10"/>
  <c r="O270" i="10"/>
  <c r="O269" i="10"/>
  <c r="O268" i="10"/>
  <c r="N267" i="10"/>
  <c r="N266" i="10"/>
  <c r="N265" i="10"/>
  <c r="M264" i="10"/>
  <c r="M263" i="10"/>
  <c r="M262" i="10"/>
  <c r="P257" i="10"/>
  <c r="P256" i="10"/>
  <c r="P255" i="10"/>
  <c r="O254" i="10"/>
  <c r="O253" i="10"/>
  <c r="O252" i="10"/>
  <c r="N251" i="10"/>
  <c r="N250" i="10"/>
  <c r="N249" i="10"/>
  <c r="M248" i="10"/>
  <c r="M247" i="10"/>
  <c r="M246" i="10"/>
  <c r="P239" i="10"/>
  <c r="P238" i="10"/>
  <c r="P237" i="10"/>
  <c r="O236" i="10"/>
  <c r="O235" i="10"/>
  <c r="O234" i="10"/>
  <c r="N233" i="10"/>
  <c r="N232" i="10"/>
  <c r="N231" i="10"/>
  <c r="M230" i="10"/>
  <c r="M229" i="10"/>
  <c r="M228" i="10"/>
  <c r="P226" i="10"/>
  <c r="N225" i="10"/>
  <c r="N222" i="10"/>
  <c r="M221" i="10"/>
  <c r="P219" i="10"/>
  <c r="M218" i="10"/>
  <c r="P216" i="10"/>
  <c r="O215" i="10"/>
  <c r="P212" i="10"/>
  <c r="P210" i="10"/>
  <c r="N208" i="10"/>
  <c r="N206" i="10"/>
  <c r="N204" i="10"/>
  <c r="O195" i="10"/>
  <c r="O193" i="10"/>
  <c r="O191" i="10"/>
  <c r="M189" i="10"/>
  <c r="M187" i="10"/>
  <c r="M185" i="10"/>
  <c r="P182" i="10"/>
  <c r="M181" i="10"/>
  <c r="M179" i="10"/>
  <c r="M177" i="10"/>
  <c r="P174" i="10"/>
  <c r="P172" i="10"/>
  <c r="P170" i="10"/>
  <c r="N168" i="10"/>
  <c r="N166" i="10"/>
  <c r="N164" i="10"/>
  <c r="O155" i="10"/>
  <c r="O153" i="10"/>
  <c r="O147" i="10"/>
  <c r="O130" i="10"/>
  <c r="N478" i="10"/>
  <c r="N113" i="10" s="1"/>
  <c r="P470" i="10"/>
  <c r="P105" i="10" s="1"/>
  <c r="N463" i="10"/>
  <c r="N98" i="10" s="1"/>
  <c r="P436" i="10"/>
  <c r="P71" i="10" s="1"/>
  <c r="U368" i="10"/>
  <c r="U3" i="10" s="1"/>
  <c r="U369" i="10"/>
  <c r="U4" i="10" s="1"/>
  <c r="U377" i="10"/>
  <c r="U12" i="10" s="1"/>
  <c r="U378" i="10"/>
  <c r="U13" i="10" s="1"/>
  <c r="U383" i="10"/>
  <c r="U18" i="10" s="1"/>
  <c r="U367" i="10"/>
  <c r="U2" i="10" s="1"/>
  <c r="U370" i="10"/>
  <c r="U5" i="10" s="1"/>
  <c r="U376" i="10"/>
  <c r="U11" i="10" s="1"/>
  <c r="U379" i="10"/>
  <c r="U14" i="10" s="1"/>
  <c r="U382" i="10"/>
  <c r="U17" i="10" s="1"/>
  <c r="U385" i="10"/>
  <c r="U20" i="10" s="1"/>
  <c r="U391" i="10"/>
  <c r="U26" i="10" s="1"/>
  <c r="U396" i="10"/>
  <c r="U31" i="10" s="1"/>
  <c r="U372" i="10"/>
  <c r="U7" i="10" s="1"/>
  <c r="U375" i="10"/>
  <c r="U10" i="10" s="1"/>
  <c r="U381" i="10"/>
  <c r="U16" i="10" s="1"/>
  <c r="U387" i="10"/>
  <c r="U22" i="10" s="1"/>
  <c r="U389" i="10"/>
  <c r="U24" i="10" s="1"/>
  <c r="U393" i="10"/>
  <c r="U28" i="10" s="1"/>
  <c r="U371" i="10"/>
  <c r="U6" i="10" s="1"/>
  <c r="U374" i="10"/>
  <c r="U9" i="10" s="1"/>
  <c r="U380" i="10"/>
  <c r="U15" i="10" s="1"/>
  <c r="U386" i="10"/>
  <c r="U21" i="10" s="1"/>
  <c r="U390" i="10"/>
  <c r="U25" i="10" s="1"/>
  <c r="U420" i="10"/>
  <c r="U55" i="10" s="1"/>
  <c r="U421" i="10"/>
  <c r="U56" i="10" s="1"/>
  <c r="U394" i="10"/>
  <c r="U29" i="10" s="1"/>
  <c r="U395" i="10"/>
  <c r="U30" i="10" s="1"/>
  <c r="U398" i="10"/>
  <c r="U33" i="10" s="1"/>
  <c r="U400" i="10"/>
  <c r="U35" i="10" s="1"/>
  <c r="U402" i="10"/>
  <c r="U37" i="10" s="1"/>
  <c r="U404" i="10"/>
  <c r="U39" i="10" s="1"/>
  <c r="U406" i="10"/>
  <c r="U41" i="10" s="1"/>
  <c r="U408" i="10"/>
  <c r="U43" i="10" s="1"/>
  <c r="U410" i="10"/>
  <c r="U45" i="10" s="1"/>
  <c r="U412" i="10"/>
  <c r="U47" i="10" s="1"/>
  <c r="U414" i="10"/>
  <c r="U49" i="10" s="1"/>
  <c r="U417" i="10"/>
  <c r="U52" i="10" s="1"/>
  <c r="U423" i="10"/>
  <c r="U58" i="10" s="1"/>
  <c r="S369" i="10"/>
  <c r="S4" i="10" s="1"/>
  <c r="T371" i="10"/>
  <c r="T6" i="10" s="1"/>
  <c r="R372" i="10"/>
  <c r="S373" i="10"/>
  <c r="S8" i="10" s="1"/>
  <c r="T375" i="10"/>
  <c r="T10" i="10" s="1"/>
  <c r="R376" i="10"/>
  <c r="R11" i="10" s="1"/>
  <c r="T376" i="10"/>
  <c r="T11" i="10" s="1"/>
  <c r="R377" i="10"/>
  <c r="S378" i="10"/>
  <c r="S13" i="10" s="1"/>
  <c r="T380" i="10"/>
  <c r="T15" i="10" s="1"/>
  <c r="R381" i="10"/>
  <c r="S383" i="10"/>
  <c r="S18" i="10" s="1"/>
  <c r="T385" i="10"/>
  <c r="T20" i="10" s="1"/>
  <c r="R386" i="10"/>
  <c r="S387" i="10"/>
  <c r="T388" i="10"/>
  <c r="T23" i="10" s="1"/>
  <c r="S367" i="10"/>
  <c r="S2" i="10" s="1"/>
  <c r="R370" i="10"/>
  <c r="R373" i="10"/>
  <c r="R374" i="10"/>
  <c r="R379" i="10"/>
  <c r="R382" i="10"/>
  <c r="T383" i="10"/>
  <c r="T18" i="10" s="1"/>
  <c r="S384" i="10"/>
  <c r="S19" i="10" s="1"/>
  <c r="R385" i="10"/>
  <c r="T386" i="10"/>
  <c r="T21" i="10" s="1"/>
  <c r="T387" i="10"/>
  <c r="T22" i="10" s="1"/>
  <c r="S388" i="10"/>
  <c r="S23" i="10" s="1"/>
  <c r="T389" i="10"/>
  <c r="T24" i="10" s="1"/>
  <c r="R390" i="10"/>
  <c r="S391" i="10"/>
  <c r="S26" i="10" s="1"/>
  <c r="T393" i="10"/>
  <c r="T28" i="10" s="1"/>
  <c r="R394" i="10"/>
  <c r="S396" i="10"/>
  <c r="R367" i="10"/>
  <c r="T367" i="10"/>
  <c r="T2" i="10" s="1"/>
  <c r="R369" i="10"/>
  <c r="T370" i="10"/>
  <c r="T5" i="10" s="1"/>
  <c r="S371" i="10"/>
  <c r="S6" i="10" s="1"/>
  <c r="S374" i="10"/>
  <c r="S9" i="10" s="1"/>
  <c r="R375" i="10"/>
  <c r="S377" i="10"/>
  <c r="S12" i="10" s="1"/>
  <c r="R378" i="10"/>
  <c r="T379" i="10"/>
  <c r="T14" i="10" s="1"/>
  <c r="S380" i="10"/>
  <c r="S15" i="10" s="1"/>
  <c r="R383" i="10"/>
  <c r="S386" i="10"/>
  <c r="S21" i="10" s="1"/>
  <c r="S389" i="10"/>
  <c r="S24" i="10" s="1"/>
  <c r="T391" i="10"/>
  <c r="T26" i="10" s="1"/>
  <c r="R392" i="10"/>
  <c r="S393" i="10"/>
  <c r="S28" i="10" s="1"/>
  <c r="T396" i="10"/>
  <c r="T31" i="10" s="1"/>
  <c r="R397" i="10"/>
  <c r="S370" i="10"/>
  <c r="S5" i="10" s="1"/>
  <c r="T373" i="10"/>
  <c r="T8" i="10" s="1"/>
  <c r="S376" i="10"/>
  <c r="S11" i="10" s="1"/>
  <c r="S379" i="10"/>
  <c r="S14" i="10" s="1"/>
  <c r="S382" i="10"/>
  <c r="S17" i="10" s="1"/>
  <c r="S385" i="10"/>
  <c r="S20" i="10" s="1"/>
  <c r="R393" i="10"/>
  <c r="S394" i="10"/>
  <c r="S29" i="10" s="1"/>
  <c r="S395" i="10"/>
  <c r="S30" i="10" s="1"/>
  <c r="T397" i="10"/>
  <c r="T32" i="10" s="1"/>
  <c r="R398" i="10"/>
  <c r="T398" i="10"/>
  <c r="T33" i="10" s="1"/>
  <c r="R399" i="10"/>
  <c r="R400" i="10"/>
  <c r="T400" i="10"/>
  <c r="T35" i="10" s="1"/>
  <c r="R401" i="10"/>
  <c r="R402" i="10"/>
  <c r="T402" i="10"/>
  <c r="T37" i="10" s="1"/>
  <c r="R403" i="10"/>
  <c r="R404" i="10"/>
  <c r="T404" i="10"/>
  <c r="T39" i="10" s="1"/>
  <c r="R405" i="10"/>
  <c r="R406" i="10"/>
  <c r="T406" i="10"/>
  <c r="T41" i="10" s="1"/>
  <c r="R407" i="10"/>
  <c r="R408" i="10"/>
  <c r="T408" i="10"/>
  <c r="T43" i="10" s="1"/>
  <c r="R409" i="10"/>
  <c r="R410" i="10"/>
  <c r="T410" i="10"/>
  <c r="T45" i="10" s="1"/>
  <c r="R411" i="10"/>
  <c r="R412" i="10"/>
  <c r="T412" i="10"/>
  <c r="T47" i="10" s="1"/>
  <c r="R413" i="10"/>
  <c r="R414" i="10"/>
  <c r="T414" i="10"/>
  <c r="T49" i="10" s="1"/>
  <c r="R415" i="10"/>
  <c r="T417" i="10"/>
  <c r="T52" i="10" s="1"/>
  <c r="R418" i="10"/>
  <c r="S420" i="10"/>
  <c r="S421" i="10"/>
  <c r="S56" i="10" s="1"/>
  <c r="T423" i="10"/>
  <c r="T58" i="10" s="1"/>
  <c r="R424" i="10"/>
  <c r="T369" i="10"/>
  <c r="T4" i="10" s="1"/>
  <c r="R371" i="10"/>
  <c r="T372" i="10"/>
  <c r="T7" i="10" s="1"/>
  <c r="T378" i="10"/>
  <c r="T13" i="10" s="1"/>
  <c r="R380" i="10"/>
  <c r="T381" i="10"/>
  <c r="T16" i="10" s="1"/>
  <c r="T384" i="10"/>
  <c r="T19" i="10" s="1"/>
  <c r="R389" i="10"/>
  <c r="S390" i="10"/>
  <c r="S25" i="10" s="1"/>
  <c r="T392" i="10"/>
  <c r="T27" i="10" s="1"/>
  <c r="S398" i="10"/>
  <c r="S33" i="10" s="1"/>
  <c r="T399" i="10"/>
  <c r="T34" i="10" s="1"/>
  <c r="S400" i="10"/>
  <c r="S35" i="10" s="1"/>
  <c r="T401" i="10"/>
  <c r="T36" i="10" s="1"/>
  <c r="S402" i="10"/>
  <c r="S37" i="10" s="1"/>
  <c r="T403" i="10"/>
  <c r="T38" i="10" s="1"/>
  <c r="S404" i="10"/>
  <c r="S39" i="10" s="1"/>
  <c r="T405" i="10"/>
  <c r="T40" i="10" s="1"/>
  <c r="S406" i="10"/>
  <c r="S41" i="10" s="1"/>
  <c r="T407" i="10"/>
  <c r="T42" i="10" s="1"/>
  <c r="S408" i="10"/>
  <c r="S43" i="10" s="1"/>
  <c r="T409" i="10"/>
  <c r="T44" i="10" s="1"/>
  <c r="S410" i="10"/>
  <c r="S45" i="10" s="1"/>
  <c r="T411" i="10"/>
  <c r="T46" i="10" s="1"/>
  <c r="S412" i="10"/>
  <c r="S47" i="10" s="1"/>
  <c r="T413" i="10"/>
  <c r="T48" i="10" s="1"/>
  <c r="S414" i="10"/>
  <c r="S49" i="10" s="1"/>
  <c r="T415" i="10"/>
  <c r="T50" i="10" s="1"/>
  <c r="S417" i="10"/>
  <c r="T420" i="10"/>
  <c r="T55" i="10" s="1"/>
  <c r="R421" i="10"/>
  <c r="T421" i="10"/>
  <c r="T56" i="10" s="1"/>
  <c r="R422" i="10"/>
  <c r="S423" i="10"/>
  <c r="S397" i="10"/>
  <c r="S32" i="10" s="1"/>
  <c r="R395" i="10"/>
  <c r="R30" i="10" s="1"/>
  <c r="U392" i="10"/>
  <c r="U27" i="10" s="1"/>
  <c r="T390" i="10"/>
  <c r="T25" i="10" s="1"/>
  <c r="R388" i="10"/>
  <c r="U384" i="10"/>
  <c r="U19" i="10" s="1"/>
  <c r="P367" i="10"/>
  <c r="P2" i="10" s="1"/>
  <c r="B21" i="18"/>
  <c r="U3" i="9"/>
  <c r="U5" i="9"/>
  <c r="U7" i="9"/>
  <c r="U9" i="9"/>
  <c r="U11" i="9"/>
  <c r="U13" i="9"/>
  <c r="U4" i="9"/>
  <c r="U6" i="9"/>
  <c r="U8" i="9"/>
  <c r="U10" i="9"/>
  <c r="U12" i="9"/>
  <c r="R368" i="10"/>
  <c r="S368" i="10"/>
  <c r="S3" i="10" s="1"/>
  <c r="T368" i="10"/>
  <c r="T3" i="10" s="1"/>
  <c r="X385" i="10"/>
  <c r="X20" i="10" s="1"/>
  <c r="N367" i="10"/>
  <c r="N2" i="10" s="1"/>
  <c r="Z379" i="10"/>
  <c r="Z14" i="10" s="1"/>
  <c r="I11" i="13" l="1"/>
  <c r="J11" i="13" s="1"/>
  <c r="M15" i="24"/>
  <c r="V8" i="9"/>
  <c r="N8" i="24"/>
  <c r="V11" i="9"/>
  <c r="I17" i="20" s="1"/>
  <c r="N11" i="24"/>
  <c r="V3" i="9"/>
  <c r="N3" i="24"/>
  <c r="V6" i="9"/>
  <c r="I12" i="20" s="1"/>
  <c r="N6" i="24"/>
  <c r="V9" i="9"/>
  <c r="N9" i="24"/>
  <c r="V12" i="9"/>
  <c r="I17" i="15" s="1"/>
  <c r="N12" i="24"/>
  <c r="V4" i="9"/>
  <c r="N4" i="24"/>
  <c r="V7" i="9"/>
  <c r="I13" i="20" s="1"/>
  <c r="N7" i="24"/>
  <c r="V10" i="9"/>
  <c r="N10" i="24"/>
  <c r="V13" i="9"/>
  <c r="I19" i="20" s="1"/>
  <c r="N13" i="24"/>
  <c r="V5" i="9"/>
  <c r="N5" i="24"/>
  <c r="Y387" i="10"/>
  <c r="Y22" i="10" s="1"/>
  <c r="Z260" i="10"/>
  <c r="Y127" i="10"/>
  <c r="Z457" i="10"/>
  <c r="Z92" i="10" s="1"/>
  <c r="W369" i="10"/>
  <c r="W4" i="10" s="1"/>
  <c r="W368" i="10"/>
  <c r="W3" i="10" s="1"/>
  <c r="X384" i="10"/>
  <c r="X19" i="10" s="1"/>
  <c r="Z484" i="10"/>
  <c r="Z119" i="10" s="1"/>
  <c r="Y137" i="10"/>
  <c r="Z186" i="10"/>
  <c r="Y421" i="10"/>
  <c r="Y375" i="10"/>
  <c r="Y10" i="10" s="1"/>
  <c r="X379" i="10"/>
  <c r="X14" i="10" s="1"/>
  <c r="X389" i="10"/>
  <c r="X24" i="10" s="1"/>
  <c r="Z365" i="10"/>
  <c r="Z429" i="10"/>
  <c r="Z64" i="10" s="1"/>
  <c r="Y155" i="10"/>
  <c r="Z389" i="10"/>
  <c r="Z24" i="10" s="1"/>
  <c r="Y482" i="10"/>
  <c r="Y117" i="10" s="1"/>
  <c r="D20" i="15"/>
  <c r="I3" i="13"/>
  <c r="J3" i="13" s="1"/>
  <c r="I8" i="13"/>
  <c r="J8" i="13" s="1"/>
  <c r="I7" i="13"/>
  <c r="I12" i="13"/>
  <c r="I4" i="13"/>
  <c r="J4" i="13" s="1"/>
  <c r="D21" i="20"/>
  <c r="I2" i="13"/>
  <c r="K2" i="13" s="1"/>
  <c r="I6" i="13"/>
  <c r="I5" i="13"/>
  <c r="I9" i="13"/>
  <c r="I13" i="13"/>
  <c r="I10" i="13"/>
  <c r="Y369" i="10"/>
  <c r="Y4" i="10" s="1"/>
  <c r="W392" i="10"/>
  <c r="W27" i="10" s="1"/>
  <c r="W373" i="10"/>
  <c r="W8" i="10" s="1"/>
  <c r="W370" i="10"/>
  <c r="W5" i="10" s="1"/>
  <c r="Z380" i="10"/>
  <c r="Z15" i="10" s="1"/>
  <c r="X387" i="10"/>
  <c r="X22" i="10" s="1"/>
  <c r="Z321" i="10"/>
  <c r="Y197" i="10"/>
  <c r="Z189" i="10"/>
  <c r="Y403" i="10"/>
  <c r="Y38" i="10" s="1"/>
  <c r="Z455" i="10"/>
  <c r="Z90" i="10" s="1"/>
  <c r="Y441" i="10"/>
  <c r="Y76" i="10" s="1"/>
  <c r="W255" i="10"/>
  <c r="X306" i="10"/>
  <c r="W299" i="10"/>
  <c r="Y313" i="10"/>
  <c r="Z225" i="10"/>
  <c r="W257" i="10"/>
  <c r="X376" i="10"/>
  <c r="X11" i="10" s="1"/>
  <c r="Z349" i="10"/>
  <c r="Z238" i="10"/>
  <c r="Z408" i="10"/>
  <c r="Z43" i="10" s="1"/>
  <c r="Y448" i="10"/>
  <c r="Y83" i="10" s="1"/>
  <c r="Z130" i="10"/>
  <c r="Y423" i="10"/>
  <c r="Y58" i="10" s="1"/>
  <c r="Y395" i="10"/>
  <c r="Y30" i="10" s="1"/>
  <c r="Y230" i="10"/>
  <c r="Z339" i="10"/>
  <c r="W365" i="10"/>
  <c r="W304" i="10"/>
  <c r="X367" i="10"/>
  <c r="X2" i="10" s="1"/>
  <c r="Y371" i="10"/>
  <c r="Y6" i="10" s="1"/>
  <c r="Y377" i="10"/>
  <c r="Y12" i="10" s="1"/>
  <c r="Z368" i="10"/>
  <c r="Z3" i="10" s="1"/>
  <c r="Z372" i="10"/>
  <c r="Z7" i="10" s="1"/>
  <c r="Z383" i="10"/>
  <c r="Z18" i="10" s="1"/>
  <c r="W388" i="10"/>
  <c r="W23" i="10" s="1"/>
  <c r="W384" i="10"/>
  <c r="W19" i="10" s="1"/>
  <c r="Y376" i="10"/>
  <c r="Y11" i="10" s="1"/>
  <c r="Z438" i="10"/>
  <c r="Z73" i="10" s="1"/>
  <c r="Y331" i="10"/>
  <c r="Z275" i="10"/>
  <c r="Z222" i="10"/>
  <c r="Y462" i="10"/>
  <c r="Y97" i="10" s="1"/>
  <c r="Z205" i="10"/>
  <c r="Y143" i="10"/>
  <c r="Y429" i="10"/>
  <c r="Y64" i="10" s="1"/>
  <c r="Y171" i="10"/>
  <c r="Z474" i="10"/>
  <c r="Z109" i="10" s="1"/>
  <c r="Z469" i="10"/>
  <c r="Z104" i="10" s="1"/>
  <c r="Y456" i="10"/>
  <c r="Y91" i="10" s="1"/>
  <c r="Z422" i="10"/>
  <c r="Z57" i="10" s="1"/>
  <c r="Y243" i="10"/>
  <c r="W321" i="10"/>
  <c r="W356" i="10"/>
  <c r="W174" i="10"/>
  <c r="Z355" i="10"/>
  <c r="X369" i="10"/>
  <c r="X4" i="10" s="1"/>
  <c r="W375" i="10"/>
  <c r="W10" i="10" s="1"/>
  <c r="Y379" i="10"/>
  <c r="Y14" i="10" s="1"/>
  <c r="X380" i="10"/>
  <c r="X15" i="10" s="1"/>
  <c r="Y389" i="10"/>
  <c r="Y24" i="10" s="1"/>
  <c r="Z386" i="10"/>
  <c r="Z21" i="10" s="1"/>
  <c r="Y358" i="10"/>
  <c r="Y301" i="10"/>
  <c r="Z244" i="10"/>
  <c r="Z171" i="10"/>
  <c r="Y470" i="10"/>
  <c r="Y105" i="10" s="1"/>
  <c r="Z173" i="10"/>
  <c r="Y477" i="10"/>
  <c r="Z202" i="10"/>
  <c r="Y140" i="10"/>
  <c r="Y438" i="10"/>
  <c r="Y73" i="10" s="1"/>
  <c r="Z442" i="10"/>
  <c r="Z77" i="10" s="1"/>
  <c r="Y399" i="10"/>
  <c r="Z411" i="10"/>
  <c r="Z46" i="10" s="1"/>
  <c r="X199" i="10"/>
  <c r="Y221" i="10"/>
  <c r="W264" i="10"/>
  <c r="X288" i="10"/>
  <c r="W238" i="10"/>
  <c r="Z249" i="10"/>
  <c r="X463" i="10"/>
  <c r="X98" i="10" s="1"/>
  <c r="Z468" i="10"/>
  <c r="Z103" i="10" s="1"/>
  <c r="Z364" i="10"/>
  <c r="Y342" i="10"/>
  <c r="Y307" i="10"/>
  <c r="Z283" i="10"/>
  <c r="Y254" i="10"/>
  <c r="Y224" i="10"/>
  <c r="Y181" i="10"/>
  <c r="Z127" i="10"/>
  <c r="Y129" i="10"/>
  <c r="Y207" i="10"/>
  <c r="Z181" i="10"/>
  <c r="Z149" i="10"/>
  <c r="Z125" i="10"/>
  <c r="Z445" i="10"/>
  <c r="Z80" i="10" s="1"/>
  <c r="Y204" i="10"/>
  <c r="Z177" i="10"/>
  <c r="Z153" i="10"/>
  <c r="Z122" i="10"/>
  <c r="Z450" i="10"/>
  <c r="Z85" i="10" s="1"/>
  <c r="Z477" i="10"/>
  <c r="Z112" i="10" s="1"/>
  <c r="Z447" i="10"/>
  <c r="Z82" i="10" s="1"/>
  <c r="Y408" i="10"/>
  <c r="Y43" i="10" s="1"/>
  <c r="Y437" i="10"/>
  <c r="Y72" i="10" s="1"/>
  <c r="Z398" i="10"/>
  <c r="Z33" i="10" s="1"/>
  <c r="Z417" i="10"/>
  <c r="Z52" i="10" s="1"/>
  <c r="Y380" i="10"/>
  <c r="Y15" i="10" s="1"/>
  <c r="W475" i="10"/>
  <c r="W110" i="10" s="1"/>
  <c r="Y193" i="10"/>
  <c r="Y228" i="10"/>
  <c r="Y245" i="10"/>
  <c r="X269" i="10"/>
  <c r="Y283" i="10"/>
  <c r="W311" i="10"/>
  <c r="X365" i="10"/>
  <c r="X284" i="10"/>
  <c r="W486" i="10"/>
  <c r="W121" i="10" s="1"/>
  <c r="X448" i="10"/>
  <c r="X83" i="10" s="1"/>
  <c r="Z195" i="10"/>
  <c r="W282" i="10"/>
  <c r="Y367" i="10"/>
  <c r="Y2" i="10" s="1"/>
  <c r="X371" i="10"/>
  <c r="X6" i="10" s="1"/>
  <c r="X375" i="10"/>
  <c r="X10" i="10" s="1"/>
  <c r="Y381" i="10"/>
  <c r="Y16" i="10" s="1"/>
  <c r="Y374" i="10"/>
  <c r="Y9" i="10" s="1"/>
  <c r="W383" i="10"/>
  <c r="W18" i="10" s="1"/>
  <c r="W386" i="10"/>
  <c r="W21" i="10" s="1"/>
  <c r="Y391" i="10"/>
  <c r="Y26" i="10" s="1"/>
  <c r="W376" i="10"/>
  <c r="W11" i="10" s="1"/>
  <c r="X395" i="10"/>
  <c r="X30" i="10" s="1"/>
  <c r="Y130" i="10"/>
  <c r="Z432" i="10"/>
  <c r="Z67" i="10" s="1"/>
  <c r="Y350" i="10"/>
  <c r="Y323" i="10"/>
  <c r="Z299" i="10"/>
  <c r="Z268" i="10"/>
  <c r="Y240" i="10"/>
  <c r="Z214" i="10"/>
  <c r="Z143" i="10"/>
  <c r="Y450" i="10"/>
  <c r="Y85" i="10" s="1"/>
  <c r="Z464" i="10"/>
  <c r="Z99" i="10" s="1"/>
  <c r="Y191" i="10"/>
  <c r="Z165" i="10"/>
  <c r="Z141" i="10"/>
  <c r="Y468" i="10"/>
  <c r="Y103" i="10" s="1"/>
  <c r="Y412" i="10"/>
  <c r="Y47" i="10" s="1"/>
  <c r="Z194" i="10"/>
  <c r="Z161" i="10"/>
  <c r="Z138" i="10"/>
  <c r="Y472" i="10"/>
  <c r="Y107" i="10" s="1"/>
  <c r="Y419" i="10"/>
  <c r="Y54" i="10" s="1"/>
  <c r="Z461" i="10"/>
  <c r="Z96" i="10" s="1"/>
  <c r="Y439" i="10"/>
  <c r="Y74" i="10" s="1"/>
  <c r="Z449" i="10"/>
  <c r="Z84" i="10" s="1"/>
  <c r="Z425" i="10"/>
  <c r="Y409" i="10"/>
  <c r="Y44" i="10" s="1"/>
  <c r="Z390" i="10"/>
  <c r="Z25" i="10" s="1"/>
  <c r="W209" i="10"/>
  <c r="X216" i="10"/>
  <c r="W240" i="10"/>
  <c r="X257" i="10"/>
  <c r="W293" i="10"/>
  <c r="W333" i="10"/>
  <c r="W338" i="10"/>
  <c r="X214" i="10"/>
  <c r="W205" i="10"/>
  <c r="W172" i="10"/>
  <c r="Z320" i="10"/>
  <c r="W371" i="10"/>
  <c r="W6" i="10" s="1"/>
  <c r="X373" i="10"/>
  <c r="X8" i="10" s="1"/>
  <c r="X377" i="10"/>
  <c r="X12" i="10" s="1"/>
  <c r="Y370" i="10"/>
  <c r="Y5" i="10" s="1"/>
  <c r="Z381" i="10"/>
  <c r="Z16" i="10" s="1"/>
  <c r="W367" i="10"/>
  <c r="W2" i="10" s="1"/>
  <c r="Y378" i="10"/>
  <c r="Y13" i="10" s="1"/>
  <c r="X383" i="10"/>
  <c r="X18" i="10" s="1"/>
  <c r="X382" i="10"/>
  <c r="X17" i="10" s="1"/>
  <c r="W393" i="10"/>
  <c r="W28" i="10" s="1"/>
  <c r="W389" i="10"/>
  <c r="W24" i="10" s="1"/>
  <c r="W372" i="10"/>
  <c r="W7" i="10" s="1"/>
  <c r="Y394" i="10"/>
  <c r="Y29" i="10" s="1"/>
  <c r="Y471" i="10"/>
  <c r="Y106" i="10" s="1"/>
  <c r="Y428" i="10"/>
  <c r="Y63" i="10" s="1"/>
  <c r="Z356" i="10"/>
  <c r="Z340" i="10"/>
  <c r="Y315" i="10"/>
  <c r="Z291" i="10"/>
  <c r="Y270" i="10"/>
  <c r="Z252" i="10"/>
  <c r="Z230" i="10"/>
  <c r="Z203" i="10"/>
  <c r="Y165" i="10"/>
  <c r="Y475" i="10"/>
  <c r="Y110" i="10" s="1"/>
  <c r="Z135" i="10"/>
  <c r="Y436" i="10"/>
  <c r="Y71" i="10" s="1"/>
  <c r="Z197" i="10"/>
  <c r="Y175" i="10"/>
  <c r="Z157" i="10"/>
  <c r="Z133" i="10"/>
  <c r="Z470" i="10"/>
  <c r="Z105" i="10" s="1"/>
  <c r="Y433" i="10"/>
  <c r="Y68" i="10" s="1"/>
  <c r="Z210" i="10"/>
  <c r="Y188" i="10"/>
  <c r="Z169" i="10"/>
  <c r="Z146" i="10"/>
  <c r="Y124" i="10"/>
  <c r="Y465" i="10"/>
  <c r="Y100" i="10" s="1"/>
  <c r="Y426" i="10"/>
  <c r="Y61" i="10" s="1"/>
  <c r="Z473" i="10"/>
  <c r="Z108" i="10" s="1"/>
  <c r="Y454" i="10"/>
  <c r="Y89" i="10" s="1"/>
  <c r="Z426" i="10"/>
  <c r="Z61" i="10" s="1"/>
  <c r="Z453" i="10"/>
  <c r="Z88" i="10" s="1"/>
  <c r="Y416" i="10"/>
  <c r="Y51" i="10" s="1"/>
  <c r="Y405" i="10"/>
  <c r="Y40" i="10" s="1"/>
  <c r="Y401" i="10"/>
  <c r="Y36" i="10" s="1"/>
  <c r="Z407" i="10"/>
  <c r="Z42" i="10" s="1"/>
  <c r="X152" i="10"/>
  <c r="W188" i="10"/>
  <c r="Z219" i="10"/>
  <c r="Y234" i="10"/>
  <c r="X251" i="10"/>
  <c r="W266" i="10"/>
  <c r="X302" i="10"/>
  <c r="W327" i="10"/>
  <c r="X139" i="10"/>
  <c r="Y169" i="10"/>
  <c r="W227" i="10"/>
  <c r="W331" i="10"/>
  <c r="X440" i="10"/>
  <c r="X75" i="10" s="1"/>
  <c r="W140" i="10"/>
  <c r="W308" i="10"/>
  <c r="W314" i="10"/>
  <c r="Y214" i="10"/>
  <c r="W144" i="10"/>
  <c r="W431" i="10"/>
  <c r="W66" i="10" s="1"/>
  <c r="X122" i="10"/>
  <c r="X163" i="10"/>
  <c r="Y353" i="10"/>
  <c r="Y266" i="10"/>
  <c r="X194" i="10"/>
  <c r="W467" i="10"/>
  <c r="W102" i="10" s="1"/>
  <c r="X176" i="10"/>
  <c r="W347" i="10"/>
  <c r="Z315" i="10"/>
  <c r="X297" i="10"/>
  <c r="Y279" i="10"/>
  <c r="W273" i="10"/>
  <c r="W260" i="10"/>
  <c r="X248" i="10"/>
  <c r="Y237" i="10"/>
  <c r="X225" i="10"/>
  <c r="W203" i="10"/>
  <c r="Z183" i="10"/>
  <c r="Z163" i="10"/>
  <c r="X137" i="10"/>
  <c r="X374" i="10"/>
  <c r="X9" i="10" s="1"/>
  <c r="Y396" i="10"/>
  <c r="Z401" i="10"/>
  <c r="Z36" i="10" s="1"/>
  <c r="Z423" i="10"/>
  <c r="Z58" i="10" s="1"/>
  <c r="Z414" i="10"/>
  <c r="Z49" i="10" s="1"/>
  <c r="Y413" i="10"/>
  <c r="Y48" i="10" s="1"/>
  <c r="Z412" i="10"/>
  <c r="Z47" i="10" s="1"/>
  <c r="Z444" i="10"/>
  <c r="Z79" i="10" s="1"/>
  <c r="Z404" i="10"/>
  <c r="Z39" i="10" s="1"/>
  <c r="Y434" i="10"/>
  <c r="Y69" i="10" s="1"/>
  <c r="Z451" i="10"/>
  <c r="Z86" i="10" s="1"/>
  <c r="Z465" i="10"/>
  <c r="Z100" i="10" s="1"/>
  <c r="Z481" i="10"/>
  <c r="Z116" i="10" s="1"/>
  <c r="Z435" i="10"/>
  <c r="Z70" i="10" s="1"/>
  <c r="Z458" i="10"/>
  <c r="Z93" i="10" s="1"/>
  <c r="Y481" i="10"/>
  <c r="Y116" i="10" s="1"/>
  <c r="Y132" i="10"/>
  <c r="Y148" i="10"/>
  <c r="Y163" i="10"/>
  <c r="Y179" i="10"/>
  <c r="Y196" i="10"/>
  <c r="Y212" i="10"/>
  <c r="Y431" i="10"/>
  <c r="Y66" i="10" s="1"/>
  <c r="Y461" i="10"/>
  <c r="Y96" i="10" s="1"/>
  <c r="Y484" i="10"/>
  <c r="Y119" i="10" s="1"/>
  <c r="Y135" i="10"/>
  <c r="Y151" i="10"/>
  <c r="Y167" i="10"/>
  <c r="Y183" i="10"/>
  <c r="Y199" i="10"/>
  <c r="Y427" i="10"/>
  <c r="Y62" i="10" s="1"/>
  <c r="Y483" i="10"/>
  <c r="Y118" i="10" s="1"/>
  <c r="Y440" i="10"/>
  <c r="Y75" i="10" s="1"/>
  <c r="Z486" i="10"/>
  <c r="Z121" i="10" s="1"/>
  <c r="Z155" i="10"/>
  <c r="Z187" i="10"/>
  <c r="Y216" i="10"/>
  <c r="Y232" i="10"/>
  <c r="Y246" i="10"/>
  <c r="Y262" i="10"/>
  <c r="Y277" i="10"/>
  <c r="Y293" i="10"/>
  <c r="Z313" i="10"/>
  <c r="Z329" i="10"/>
  <c r="Z348" i="10"/>
  <c r="Z357" i="10"/>
  <c r="Z366" i="10"/>
  <c r="Y458" i="10"/>
  <c r="Y93" i="10" s="1"/>
  <c r="Y125" i="10"/>
  <c r="Z392" i="10"/>
  <c r="Z27" i="10" s="1"/>
  <c r="Z387" i="10"/>
  <c r="Z22" i="10" s="1"/>
  <c r="Y386" i="10"/>
  <c r="Y21" i="10" s="1"/>
  <c r="W390" i="10"/>
  <c r="W25" i="10" s="1"/>
  <c r="W394" i="10"/>
  <c r="W29" i="10" s="1"/>
  <c r="Y384" i="10"/>
  <c r="Y19" i="10" s="1"/>
  <c r="W385" i="10"/>
  <c r="W20" i="10" s="1"/>
  <c r="Y382" i="10"/>
  <c r="Y17" i="10" s="1"/>
  <c r="Z376" i="10"/>
  <c r="Z11" i="10" s="1"/>
  <c r="X372" i="10"/>
  <c r="X7" i="10" s="1"/>
  <c r="W381" i="10"/>
  <c r="W16" i="10" s="1"/>
  <c r="Y368" i="10"/>
  <c r="Y3" i="10" s="1"/>
  <c r="W377" i="10"/>
  <c r="W12" i="10" s="1"/>
  <c r="Y373" i="10"/>
  <c r="Y8" i="10" s="1"/>
  <c r="W244" i="10"/>
  <c r="V232" i="10"/>
  <c r="V224" i="10"/>
  <c r="V328" i="10"/>
  <c r="Y366" i="10"/>
  <c r="Z265" i="10"/>
  <c r="W413" i="10"/>
  <c r="W48" i="10" s="1"/>
  <c r="Y231" i="10"/>
  <c r="X210" i="10"/>
  <c r="X255" i="10"/>
  <c r="X301" i="10"/>
  <c r="Y251" i="10"/>
  <c r="W194" i="10"/>
  <c r="W271" i="10"/>
  <c r="W254" i="10"/>
  <c r="Z328" i="10"/>
  <c r="W216" i="10"/>
  <c r="X311" i="10"/>
  <c r="Y357" i="10"/>
  <c r="Z332" i="10"/>
  <c r="X340" i="10"/>
  <c r="W411" i="10"/>
  <c r="W46" i="10" s="1"/>
  <c r="X435" i="10"/>
  <c r="X70" i="10" s="1"/>
  <c r="X397" i="10"/>
  <c r="X32" i="10" s="1"/>
  <c r="X424" i="10"/>
  <c r="X59" i="10" s="1"/>
  <c r="W454" i="10"/>
  <c r="W89" i="10" s="1"/>
  <c r="X433" i="10"/>
  <c r="X68" i="10" s="1"/>
  <c r="X475" i="10"/>
  <c r="X110" i="10" s="1"/>
  <c r="Y133" i="10"/>
  <c r="X408" i="10"/>
  <c r="X43" i="10" s="1"/>
  <c r="W460" i="10"/>
  <c r="W95" i="10" s="1"/>
  <c r="W483" i="10"/>
  <c r="W118" i="10" s="1"/>
  <c r="W474" i="10"/>
  <c r="W109" i="10" s="1"/>
  <c r="X144" i="10"/>
  <c r="W166" i="10"/>
  <c r="X418" i="10"/>
  <c r="X53" i="10" s="1"/>
  <c r="X479" i="10"/>
  <c r="X114" i="10" s="1"/>
  <c r="X134" i="10"/>
  <c r="W402" i="10"/>
  <c r="W37" i="10" s="1"/>
  <c r="X127" i="10"/>
  <c r="Y157" i="10"/>
  <c r="Z178" i="10"/>
  <c r="W473" i="10"/>
  <c r="W108" i="10" s="1"/>
  <c r="X150" i="10"/>
  <c r="X172" i="10"/>
  <c r="X187" i="10"/>
  <c r="W199" i="10"/>
  <c r="Y364" i="10"/>
  <c r="Y354" i="10"/>
  <c r="Y344" i="10"/>
  <c r="X332" i="10"/>
  <c r="X324" i="10"/>
  <c r="Y317" i="10"/>
  <c r="X308" i="10"/>
  <c r="Z304" i="10"/>
  <c r="Z297" i="10"/>
  <c r="Z289" i="10"/>
  <c r="Z280" i="10"/>
  <c r="Y272" i="10"/>
  <c r="Y265" i="10"/>
  <c r="Z256" i="10"/>
  <c r="Z248" i="10"/>
  <c r="Z240" i="10"/>
  <c r="W234" i="10"/>
  <c r="W228" i="10"/>
  <c r="W222" i="10"/>
  <c r="Y215" i="10"/>
  <c r="W208" i="10"/>
  <c r="X198" i="10"/>
  <c r="X186" i="10"/>
  <c r="X165" i="10"/>
  <c r="X141" i="10"/>
  <c r="W406" i="10"/>
  <c r="W41" i="10" s="1"/>
  <c r="W180" i="10"/>
  <c r="Y164" i="10"/>
  <c r="X147" i="10"/>
  <c r="X478" i="10"/>
  <c r="X113" i="10" s="1"/>
  <c r="W366" i="10"/>
  <c r="W362" i="10"/>
  <c r="X357" i="10"/>
  <c r="W353" i="10"/>
  <c r="W348" i="10"/>
  <c r="W344" i="10"/>
  <c r="W339" i="10"/>
  <c r="W334" i="10"/>
  <c r="W329" i="10"/>
  <c r="W325" i="10"/>
  <c r="W320" i="10"/>
  <c r="Z311" i="10"/>
  <c r="Z204" i="10"/>
  <c r="W167" i="10"/>
  <c r="X230" i="10"/>
  <c r="Z278" i="10"/>
  <c r="Y213" i="10"/>
  <c r="X283" i="10"/>
  <c r="W239" i="10"/>
  <c r="X299" i="10"/>
  <c r="Z310" i="10"/>
  <c r="Z347" i="10"/>
  <c r="Z274" i="10"/>
  <c r="X337" i="10"/>
  <c r="Z337" i="10"/>
  <c r="Y330" i="10"/>
  <c r="W397" i="10"/>
  <c r="W32" i="10" s="1"/>
  <c r="X423" i="10"/>
  <c r="X58" i="10" s="1"/>
  <c r="X450" i="10"/>
  <c r="X85" i="10" s="1"/>
  <c r="W410" i="10"/>
  <c r="W45" i="10" s="1"/>
  <c r="W441" i="10"/>
  <c r="W76" i="10" s="1"/>
  <c r="W414" i="10"/>
  <c r="W49" i="10" s="1"/>
  <c r="Z460" i="10"/>
  <c r="Z95" i="10" s="1"/>
  <c r="X123" i="10"/>
  <c r="X146" i="10"/>
  <c r="W438" i="10"/>
  <c r="W73" i="10" s="1"/>
  <c r="X470" i="10"/>
  <c r="X105" i="10" s="1"/>
  <c r="W439" i="10"/>
  <c r="W74" i="10" s="1"/>
  <c r="X126" i="10"/>
  <c r="W156" i="10"/>
  <c r="Y177" i="10"/>
  <c r="X457" i="10"/>
  <c r="X92" i="10" s="1"/>
  <c r="W128" i="10"/>
  <c r="X145" i="10"/>
  <c r="X452" i="10"/>
  <c r="X87" i="10" s="1"/>
  <c r="X148" i="10"/>
  <c r="X167" i="10"/>
  <c r="X409" i="10"/>
  <c r="X44" i="10" s="1"/>
  <c r="W134" i="10"/>
  <c r="X160" i="10"/>
  <c r="Z179" i="10"/>
  <c r="Y194" i="10"/>
  <c r="X206" i="10"/>
  <c r="Y360" i="10"/>
  <c r="Y348" i="10"/>
  <c r="Y337" i="10"/>
  <c r="Y328" i="10"/>
  <c r="Y319" i="10"/>
  <c r="Y312" i="10"/>
  <c r="Z302" i="10"/>
  <c r="Z293" i="10"/>
  <c r="Z285" i="10"/>
  <c r="Z276" i="10"/>
  <c r="Y267" i="10"/>
  <c r="Y260" i="10"/>
  <c r="W253" i="10"/>
  <c r="W245" i="10"/>
  <c r="W243" i="10"/>
  <c r="W237" i="10"/>
  <c r="X231" i="10"/>
  <c r="Z224" i="10"/>
  <c r="X219" i="10"/>
  <c r="X213" i="10"/>
  <c r="W202" i="10"/>
  <c r="X192" i="10"/>
  <c r="Y182" i="10"/>
  <c r="X177" i="10"/>
  <c r="W154" i="10"/>
  <c r="W482" i="10"/>
  <c r="W117" i="10" s="1"/>
  <c r="Y172" i="10"/>
  <c r="W157" i="10"/>
  <c r="W131" i="10"/>
  <c r="W443" i="10"/>
  <c r="W78" i="10" s="1"/>
  <c r="W364" i="10"/>
  <c r="W360" i="10"/>
  <c r="W355" i="10"/>
  <c r="Z350" i="10"/>
  <c r="W346" i="10"/>
  <c r="X341" i="10"/>
  <c r="W337" i="10"/>
  <c r="X202" i="10"/>
  <c r="Y289" i="10"/>
  <c r="Y295" i="10"/>
  <c r="Z220" i="10"/>
  <c r="Z359" i="10"/>
  <c r="X346" i="10"/>
  <c r="X430" i="10"/>
  <c r="X65" i="10" s="1"/>
  <c r="W417" i="10"/>
  <c r="W52" i="10" s="1"/>
  <c r="W421" i="10"/>
  <c r="W56" i="10" s="1"/>
  <c r="X130" i="10"/>
  <c r="W450" i="10"/>
  <c r="W85" i="10" s="1"/>
  <c r="X459" i="10"/>
  <c r="X94" i="10" s="1"/>
  <c r="Y161" i="10"/>
  <c r="W468" i="10"/>
  <c r="W103" i="10" s="1"/>
  <c r="W151" i="10"/>
  <c r="W152" i="10"/>
  <c r="X458" i="10"/>
  <c r="X93" i="10" s="1"/>
  <c r="W164" i="10"/>
  <c r="X197" i="10"/>
  <c r="Y355" i="10"/>
  <c r="Y336" i="10"/>
  <c r="Y318" i="10"/>
  <c r="Z295" i="10"/>
  <c r="W279" i="10"/>
  <c r="W262" i="10"/>
  <c r="Z247" i="10"/>
  <c r="W242" i="10"/>
  <c r="W229" i="10"/>
  <c r="X218" i="10"/>
  <c r="W200" i="10"/>
  <c r="W162" i="10"/>
  <c r="Y168" i="10"/>
  <c r="Y486" i="10"/>
  <c r="Y121" i="10" s="1"/>
  <c r="W363" i="10"/>
  <c r="W354" i="10"/>
  <c r="W345" i="10"/>
  <c r="W336" i="10"/>
  <c r="Z335" i="10"/>
  <c r="W328" i="10"/>
  <c r="X322" i="10"/>
  <c r="W317" i="10"/>
  <c r="W312" i="10"/>
  <c r="Z307" i="10"/>
  <c r="X303" i="10"/>
  <c r="X298" i="10"/>
  <c r="X294" i="10"/>
  <c r="X289" i="10"/>
  <c r="W285" i="10"/>
  <c r="X280" i="10"/>
  <c r="W276" i="10"/>
  <c r="X220" i="10"/>
  <c r="Z242" i="10"/>
  <c r="Z237" i="10"/>
  <c r="W256" i="10"/>
  <c r="X315" i="10"/>
  <c r="W303" i="10"/>
  <c r="X403" i="10"/>
  <c r="X38" i="10" s="1"/>
  <c r="X454" i="10"/>
  <c r="X89" i="10" s="1"/>
  <c r="W448" i="10"/>
  <c r="W83" i="10" s="1"/>
  <c r="X467" i="10"/>
  <c r="X102" i="10" s="1"/>
  <c r="Y150" i="10"/>
  <c r="W478" i="10"/>
  <c r="W113" i="10" s="1"/>
  <c r="W136" i="10"/>
  <c r="X180" i="10"/>
  <c r="W130" i="10"/>
  <c r="X483" i="10"/>
  <c r="X118" i="10" s="1"/>
  <c r="W171" i="10"/>
  <c r="Y146" i="10"/>
  <c r="W183" i="10"/>
  <c r="Y210" i="10"/>
  <c r="Y346" i="10"/>
  <c r="Y326" i="10"/>
  <c r="Y310" i="10"/>
  <c r="Z303" i="10"/>
  <c r="Z286" i="10"/>
  <c r="X271" i="10"/>
  <c r="X254" i="10"/>
  <c r="W236" i="10"/>
  <c r="X223" i="10"/>
  <c r="W210" i="10"/>
  <c r="Y190" i="10"/>
  <c r="W181" i="10"/>
  <c r="Z123" i="10"/>
  <c r="X153" i="10"/>
  <c r="X398" i="10"/>
  <c r="X33" i="10" s="1"/>
  <c r="Z358" i="10"/>
  <c r="X349" i="10"/>
  <c r="W340" i="10"/>
  <c r="Z331" i="10"/>
  <c r="W326" i="10"/>
  <c r="W319" i="10"/>
  <c r="X314" i="10"/>
  <c r="W310" i="10"/>
  <c r="X305" i="10"/>
  <c r="W301" i="10"/>
  <c r="X296" i="10"/>
  <c r="Y291" i="10"/>
  <c r="X287" i="10"/>
  <c r="X282" i="10"/>
  <c r="Y278" i="10"/>
  <c r="W272" i="10"/>
  <c r="W267" i="10"/>
  <c r="Z262" i="10"/>
  <c r="W258" i="10"/>
  <c r="Y253" i="10"/>
  <c r="X249" i="10"/>
  <c r="X244" i="10"/>
  <c r="X241" i="10"/>
  <c r="Y236" i="10"/>
  <c r="W232" i="10"/>
  <c r="Y227" i="10"/>
  <c r="Y222" i="10"/>
  <c r="Z218" i="10"/>
  <c r="Z213" i="10"/>
  <c r="Z212" i="10"/>
  <c r="X205" i="10"/>
  <c r="W197" i="10"/>
  <c r="Y189" i="10"/>
  <c r="W182" i="10"/>
  <c r="X175" i="10"/>
  <c r="Z159" i="10"/>
  <c r="X437" i="10"/>
  <c r="X72" i="10" s="1"/>
  <c r="Z397" i="10"/>
  <c r="Z32" i="10" s="1"/>
  <c r="Y390" i="10"/>
  <c r="Y25" i="10" s="1"/>
  <c r="Y397" i="10"/>
  <c r="Y32" i="10" s="1"/>
  <c r="Z405" i="10"/>
  <c r="Z40" i="10" s="1"/>
  <c r="Z413" i="10"/>
  <c r="Z48" i="10" s="1"/>
  <c r="Z421" i="10"/>
  <c r="Z56" i="10" s="1"/>
  <c r="Z378" i="10"/>
  <c r="Z13" i="10" s="1"/>
  <c r="Z406" i="10"/>
  <c r="Z41" i="10" s="1"/>
  <c r="Y417" i="10"/>
  <c r="Y52" i="10" s="1"/>
  <c r="Y392" i="10"/>
  <c r="Y27" i="10" s="1"/>
  <c r="Y406" i="10"/>
  <c r="Y41" i="10" s="1"/>
  <c r="Z418" i="10"/>
  <c r="Z53" i="10" s="1"/>
  <c r="Z384" i="10"/>
  <c r="Z19" i="10" s="1"/>
  <c r="Z367" i="10"/>
  <c r="Z2" i="10" s="1"/>
  <c r="Z369" i="10"/>
  <c r="Z4" i="10" s="1"/>
  <c r="Z371" i="10"/>
  <c r="Z6" i="10" s="1"/>
  <c r="Z373" i="10"/>
  <c r="Z8" i="10" s="1"/>
  <c r="Z375" i="10"/>
  <c r="Z10" i="10" s="1"/>
  <c r="Z377" i="10"/>
  <c r="Z12" i="10" s="1"/>
  <c r="X370" i="10"/>
  <c r="X5" i="10" s="1"/>
  <c r="X368" i="10"/>
  <c r="X3" i="10" s="1"/>
  <c r="X381" i="10"/>
  <c r="X16" i="10" s="1"/>
  <c r="W379" i="10"/>
  <c r="W14" i="10" s="1"/>
  <c r="W374" i="10"/>
  <c r="W9" i="10" s="1"/>
  <c r="W378" i="10"/>
  <c r="W13" i="10" s="1"/>
  <c r="W382" i="10"/>
  <c r="W17" i="10" s="1"/>
  <c r="Y383" i="10"/>
  <c r="Y18" i="10" s="1"/>
  <c r="Y385" i="10"/>
  <c r="Y20" i="10" s="1"/>
  <c r="X378" i="10"/>
  <c r="X13" i="10" s="1"/>
  <c r="W387" i="10"/>
  <c r="W22" i="10" s="1"/>
  <c r="Y393" i="10"/>
  <c r="Y28" i="10" s="1"/>
  <c r="W391" i="10"/>
  <c r="W26" i="10" s="1"/>
  <c r="Y388" i="10"/>
  <c r="Y23" i="10" s="1"/>
  <c r="W380" i="10"/>
  <c r="W15" i="10" s="1"/>
  <c r="Z385" i="10"/>
  <c r="Z20" i="10" s="1"/>
  <c r="Z391" i="10"/>
  <c r="Z26" i="10" s="1"/>
  <c r="Z395" i="10"/>
  <c r="Z30" i="10" s="1"/>
  <c r="Y474" i="10"/>
  <c r="Y109" i="10" s="1"/>
  <c r="Z448" i="10"/>
  <c r="Z83" i="10" s="1"/>
  <c r="Z370" i="10"/>
  <c r="Z5" i="10" s="1"/>
  <c r="Y359" i="10"/>
  <c r="Y351" i="10"/>
  <c r="Y343" i="10"/>
  <c r="Y332" i="10"/>
  <c r="Y324" i="10"/>
  <c r="Y316" i="10"/>
  <c r="Y308" i="10"/>
  <c r="Y300" i="10"/>
  <c r="Y292" i="10"/>
  <c r="Y284" i="10"/>
  <c r="Y276" i="10"/>
  <c r="Z269" i="10"/>
  <c r="Z261" i="10"/>
  <c r="Z253" i="10"/>
  <c r="Z245" i="10"/>
  <c r="Z239" i="10"/>
  <c r="Z231" i="10"/>
  <c r="Z223" i="10"/>
  <c r="Z215" i="10"/>
  <c r="Y202" i="10"/>
  <c r="Y186" i="10"/>
  <c r="Z166" i="10"/>
  <c r="Z148" i="10"/>
  <c r="Z132" i="10"/>
  <c r="Y478" i="10"/>
  <c r="Y459" i="10"/>
  <c r="Y94" i="10" s="1"/>
  <c r="Z433" i="10"/>
  <c r="Z68" i="10" s="1"/>
  <c r="Y134" i="10"/>
  <c r="Z480" i="10"/>
  <c r="Z115" i="10" s="1"/>
  <c r="Y446" i="10"/>
  <c r="Y81" i="10" s="1"/>
  <c r="Z416" i="10"/>
  <c r="Z51" i="10" s="1"/>
  <c r="Z206" i="10"/>
  <c r="Z198" i="10"/>
  <c r="Z190" i="10"/>
  <c r="Z182" i="10"/>
  <c r="Y174" i="10"/>
  <c r="Y166" i="10"/>
  <c r="Y158" i="10"/>
  <c r="Z150" i="10"/>
  <c r="Z142" i="10"/>
  <c r="Z134" i="10"/>
  <c r="Z126" i="10"/>
  <c r="Z478" i="10"/>
  <c r="Z113" i="10" s="1"/>
  <c r="Y469" i="10"/>
  <c r="Y104" i="10" s="1"/>
  <c r="Y460" i="10"/>
  <c r="Y95" i="10" s="1"/>
  <c r="Z440" i="10"/>
  <c r="Z75" i="10" s="1"/>
  <c r="Y430" i="10"/>
  <c r="Y65" i="10" s="1"/>
  <c r="Y411" i="10"/>
  <c r="Y46" i="10" s="1"/>
  <c r="Y211" i="10"/>
  <c r="Y203" i="10"/>
  <c r="Y195" i="10"/>
  <c r="Y187" i="10"/>
  <c r="Y178" i="10"/>
  <c r="Y170" i="10"/>
  <c r="Y162" i="10"/>
  <c r="Y154" i="10"/>
  <c r="Y147" i="10"/>
  <c r="Y139" i="10"/>
  <c r="Y131" i="10"/>
  <c r="Y123" i="10"/>
  <c r="Y480" i="10"/>
  <c r="Y115" i="10" s="1"/>
  <c r="Z466" i="10"/>
  <c r="Z101" i="10" s="1"/>
  <c r="Y457" i="10"/>
  <c r="Y92" i="10" s="1"/>
  <c r="Y443" i="10"/>
  <c r="Y78" i="10" s="1"/>
  <c r="Z427" i="10"/>
  <c r="Z62" i="10" s="1"/>
  <c r="Z396" i="10"/>
  <c r="Z31" i="10" s="1"/>
  <c r="Z479" i="10"/>
  <c r="Z114" i="10" s="1"/>
  <c r="Z471" i="10"/>
  <c r="Z106" i="10" s="1"/>
  <c r="Z463" i="10"/>
  <c r="Z98" i="10" s="1"/>
  <c r="Z456" i="10"/>
  <c r="Z91" i="10" s="1"/>
  <c r="Y449" i="10"/>
  <c r="Y84" i="10" s="1"/>
  <c r="Z441" i="10"/>
  <c r="Z76" i="10" s="1"/>
  <c r="Z428" i="10"/>
  <c r="Z63" i="10" s="1"/>
  <c r="Z420" i="10"/>
  <c r="Z55" i="10" s="1"/>
  <c r="Z393" i="10"/>
  <c r="Z28" i="10" s="1"/>
  <c r="Y451" i="10"/>
  <c r="Y86" i="10" s="1"/>
  <c r="Y442" i="10"/>
  <c r="Y77" i="10" s="1"/>
  <c r="Z434" i="10"/>
  <c r="Z69" i="10" s="1"/>
  <c r="Y402" i="10"/>
  <c r="Y37" i="10" s="1"/>
  <c r="Y422" i="10"/>
  <c r="Y57" i="10" s="1"/>
  <c r="Z410" i="10"/>
  <c r="Z45" i="10" s="1"/>
  <c r="Y425" i="10"/>
  <c r="Y60" i="10" s="1"/>
  <c r="Y410" i="10"/>
  <c r="Y45" i="10" s="1"/>
  <c r="Y400" i="10"/>
  <c r="Y35" i="10" s="1"/>
  <c r="Z419" i="10"/>
  <c r="Z54" i="10" s="1"/>
  <c r="Z409" i="10"/>
  <c r="Z44" i="10" s="1"/>
  <c r="Z399" i="10"/>
  <c r="Z34" i="10" s="1"/>
  <c r="Z388" i="10"/>
  <c r="Z23" i="10" s="1"/>
  <c r="Y145" i="10"/>
  <c r="X156" i="10"/>
  <c r="X179" i="10"/>
  <c r="X185" i="10"/>
  <c r="X195" i="10"/>
  <c r="W207" i="10"/>
  <c r="Z217" i="10"/>
  <c r="W224" i="10"/>
  <c r="Y229" i="10"/>
  <c r="Y235" i="10"/>
  <c r="Y242" i="10"/>
  <c r="W247" i="10"/>
  <c r="X252" i="10"/>
  <c r="W259" i="10"/>
  <c r="W265" i="10"/>
  <c r="Z270" i="10"/>
  <c r="X281" i="10"/>
  <c r="X290" i="10"/>
  <c r="Y299" i="10"/>
  <c r="W309" i="10"/>
  <c r="W318" i="10"/>
  <c r="X330" i="10"/>
  <c r="W352" i="10"/>
  <c r="Y463" i="10"/>
  <c r="Y98" i="10" s="1"/>
  <c r="Y149" i="10"/>
  <c r="Z184" i="10"/>
  <c r="W220" i="10"/>
  <c r="Y258" i="10"/>
  <c r="W291" i="10"/>
  <c r="Y340" i="10"/>
  <c r="W189" i="10"/>
  <c r="Y180" i="10"/>
  <c r="W143" i="10"/>
  <c r="W150" i="10"/>
  <c r="W428" i="10"/>
  <c r="W63" i="10" s="1"/>
  <c r="X399" i="10"/>
  <c r="X34" i="10" s="1"/>
  <c r="X414" i="10"/>
  <c r="X49" i="10" s="1"/>
  <c r="Z338" i="10"/>
  <c r="X267" i="10"/>
  <c r="W241" i="10"/>
  <c r="Z341" i="10"/>
  <c r="Z330" i="10"/>
  <c r="Z322" i="10"/>
  <c r="Z314" i="10"/>
  <c r="Z306" i="10"/>
  <c r="Z298" i="10"/>
  <c r="Z290" i="10"/>
  <c r="Z282" i="10"/>
  <c r="Y271" i="10"/>
  <c r="Y263" i="10"/>
  <c r="Y255" i="10"/>
  <c r="Y247" i="10"/>
  <c r="Y241" i="10"/>
  <c r="Y233" i="10"/>
  <c r="Y225" i="10"/>
  <c r="Y217" i="10"/>
  <c r="Z208" i="10"/>
  <c r="Z192" i="10"/>
  <c r="Y176" i="10"/>
  <c r="Y160" i="10"/>
  <c r="Y142" i="10"/>
  <c r="Y126" i="10"/>
  <c r="Z472" i="10"/>
  <c r="Z107" i="10" s="1"/>
  <c r="Z443" i="10"/>
  <c r="Z78" i="10" s="1"/>
  <c r="Z140" i="10"/>
  <c r="Z124" i="10"/>
  <c r="Y467" i="10"/>
  <c r="Y102" i="10" s="1"/>
  <c r="Z431" i="10"/>
  <c r="Z66" i="10" s="1"/>
  <c r="Y208" i="10"/>
  <c r="Y200" i="10"/>
  <c r="Y192" i="10"/>
  <c r="Y184" i="10"/>
  <c r="Z180" i="10"/>
  <c r="Z172" i="10"/>
  <c r="Z164" i="10"/>
  <c r="Z156" i="10"/>
  <c r="Y144" i="10"/>
  <c r="Y136" i="10"/>
  <c r="Y128" i="10"/>
  <c r="Y485" i="10"/>
  <c r="Y120" i="10" s="1"/>
  <c r="Y476" i="10"/>
  <c r="Y111" i="10" s="1"/>
  <c r="Z462" i="10"/>
  <c r="Z97" i="10" s="1"/>
  <c r="Z446" i="10"/>
  <c r="Z81" i="10" s="1"/>
  <c r="Y432" i="10"/>
  <c r="Y67" i="10" s="1"/>
  <c r="Y424" i="10"/>
  <c r="Y59" i="10" s="1"/>
  <c r="Y398" i="10"/>
  <c r="Y33" i="10" s="1"/>
  <c r="Z209" i="10"/>
  <c r="Z201" i="10"/>
  <c r="Z193" i="10"/>
  <c r="Z185" i="10"/>
  <c r="Z176" i="10"/>
  <c r="Z168" i="10"/>
  <c r="Z160" i="10"/>
  <c r="Z152" i="10"/>
  <c r="Z145" i="10"/>
  <c r="Z137" i="10"/>
  <c r="Z129" i="10"/>
  <c r="Z482" i="10"/>
  <c r="Z117" i="10" s="1"/>
  <c r="Y473" i="10"/>
  <c r="Y108" i="10" s="1"/>
  <c r="Y464" i="10"/>
  <c r="Y99" i="10" s="1"/>
  <c r="Y452" i="10"/>
  <c r="Y87" i="10" s="1"/>
  <c r="Z436" i="10"/>
  <c r="Z71" i="10" s="1"/>
  <c r="Y420" i="10"/>
  <c r="Y55" i="10" s="1"/>
  <c r="Z483" i="10"/>
  <c r="Z118" i="10" s="1"/>
  <c r="Z475" i="10"/>
  <c r="Z110" i="10" s="1"/>
  <c r="Z467" i="10"/>
  <c r="Z102" i="10" s="1"/>
  <c r="Z459" i="10"/>
  <c r="Z94" i="10" s="1"/>
  <c r="Y453" i="10"/>
  <c r="Y88" i="10" s="1"/>
  <c r="Y444" i="10"/>
  <c r="Y79" i="10" s="1"/>
  <c r="Z437" i="10"/>
  <c r="Z72" i="10" s="1"/>
  <c r="Z424" i="10"/>
  <c r="Z59" i="10" s="1"/>
  <c r="Y407" i="10"/>
  <c r="Y42" i="10" s="1"/>
  <c r="Z454" i="10"/>
  <c r="Z89" i="10" s="1"/>
  <c r="Y447" i="10"/>
  <c r="Y82" i="10" s="1"/>
  <c r="Z439" i="10"/>
  <c r="Z74" i="10" s="1"/>
  <c r="Y415" i="10"/>
  <c r="Y50" i="10" s="1"/>
  <c r="Z394" i="10"/>
  <c r="Z29" i="10" s="1"/>
  <c r="Y414" i="10"/>
  <c r="Y49" i="10" s="1"/>
  <c r="Y404" i="10"/>
  <c r="Y39" i="10" s="1"/>
  <c r="Y418" i="10"/>
  <c r="Y53" i="10" s="1"/>
  <c r="Z402" i="10"/>
  <c r="Z37" i="10" s="1"/>
  <c r="Z382" i="10"/>
  <c r="Z17" i="10" s="1"/>
  <c r="Z415" i="10"/>
  <c r="Z50" i="10" s="1"/>
  <c r="Z403" i="10"/>
  <c r="Z38" i="10" s="1"/>
  <c r="Z374" i="10"/>
  <c r="Z9" i="10" s="1"/>
  <c r="Y372" i="10"/>
  <c r="Y7" i="10" s="1"/>
  <c r="X460" i="10"/>
  <c r="X95" i="10" s="1"/>
  <c r="X128" i="10"/>
  <c r="V143" i="10"/>
  <c r="W168" i="10"/>
  <c r="X191" i="10"/>
  <c r="W201" i="10"/>
  <c r="W211" i="10"/>
  <c r="W215" i="10"/>
  <c r="Y220" i="10"/>
  <c r="Y226" i="10"/>
  <c r="X233" i="10"/>
  <c r="Y238" i="10"/>
  <c r="X250" i="10"/>
  <c r="X256" i="10"/>
  <c r="X261" i="10"/>
  <c r="W268" i="10"/>
  <c r="W274" i="10"/>
  <c r="X277" i="10"/>
  <c r="X286" i="10"/>
  <c r="X295" i="10"/>
  <c r="X304" i="10"/>
  <c r="W313" i="10"/>
  <c r="Z323" i="10"/>
  <c r="Z342" i="10"/>
  <c r="W361" i="10"/>
  <c r="W161" i="10"/>
  <c r="W206" i="10"/>
  <c r="Z232" i="10"/>
  <c r="Y274" i="10"/>
  <c r="W323" i="10"/>
  <c r="Y362" i="10"/>
  <c r="X158" i="10"/>
  <c r="Z131" i="10"/>
  <c r="Y435" i="10"/>
  <c r="Y70" i="10" s="1"/>
  <c r="W408" i="10"/>
  <c r="W43" i="10" s="1"/>
  <c r="X480" i="10"/>
  <c r="X115" i="10" s="1"/>
  <c r="X404" i="10"/>
  <c r="X39" i="10" s="1"/>
  <c r="Y322" i="10"/>
  <c r="W281" i="10"/>
  <c r="W269" i="10"/>
  <c r="V197" i="10"/>
  <c r="Z316" i="10"/>
  <c r="Z344" i="10"/>
  <c r="Z200" i="10"/>
  <c r="X222" i="10"/>
  <c r="W471" i="10"/>
  <c r="W106" i="10" s="1"/>
  <c r="Y206" i="10"/>
  <c r="X221" i="10"/>
  <c r="Y252" i="10"/>
  <c r="Z271" i="10"/>
  <c r="W292" i="10"/>
  <c r="X211" i="10"/>
  <c r="X245" i="10"/>
  <c r="X270" i="10"/>
  <c r="Y304" i="10"/>
  <c r="W231" i="10"/>
  <c r="X265" i="10"/>
  <c r="X293" i="10"/>
  <c r="Z228" i="10"/>
  <c r="W295" i="10"/>
  <c r="Z324" i="10"/>
  <c r="Z345" i="10"/>
  <c r="Z363" i="10"/>
  <c r="Y256" i="10"/>
  <c r="X309" i="10"/>
  <c r="X329" i="10"/>
  <c r="X355" i="10"/>
  <c r="Z346" i="10"/>
  <c r="X323" i="10"/>
  <c r="W300" i="10"/>
  <c r="X228" i="10"/>
  <c r="W400" i="10"/>
  <c r="W35" i="10" s="1"/>
  <c r="X412" i="10"/>
  <c r="X47" i="10" s="1"/>
  <c r="X426" i="10"/>
  <c r="X61" i="10" s="1"/>
  <c r="W440" i="10"/>
  <c r="W75" i="10" s="1"/>
  <c r="W452" i="10"/>
  <c r="W87" i="10" s="1"/>
  <c r="W399" i="10"/>
  <c r="W34" i="10" s="1"/>
  <c r="X415" i="10"/>
  <c r="X50" i="10" s="1"/>
  <c r="X429" i="10"/>
  <c r="X64" i="10" s="1"/>
  <c r="X443" i="10"/>
  <c r="X78" i="10" s="1"/>
  <c r="X456" i="10"/>
  <c r="X91" i="10" s="1"/>
  <c r="X417" i="10"/>
  <c r="X52" i="10" s="1"/>
  <c r="X442" i="10"/>
  <c r="X77" i="10" s="1"/>
  <c r="W466" i="10"/>
  <c r="W101" i="10" s="1"/>
  <c r="W477" i="10"/>
  <c r="W112" i="10" s="1"/>
  <c r="W125" i="10"/>
  <c r="Y138" i="10"/>
  <c r="X149" i="10"/>
  <c r="W416" i="10"/>
  <c r="W51" i="10" s="1"/>
  <c r="W444" i="10"/>
  <c r="W79" i="10" s="1"/>
  <c r="X461" i="10"/>
  <c r="X96" i="10" s="1"/>
  <c r="X474" i="10"/>
  <c r="X109" i="10" s="1"/>
  <c r="X400" i="10"/>
  <c r="X35" i="10" s="1"/>
  <c r="W451" i="10"/>
  <c r="W86" i="10" s="1"/>
  <c r="X477" i="10"/>
  <c r="X112" i="10" s="1"/>
  <c r="X133" i="10"/>
  <c r="W148" i="10"/>
  <c r="X157" i="10"/>
  <c r="W169" i="10"/>
  <c r="W179" i="10"/>
  <c r="Z334" i="10"/>
  <c r="X338" i="10"/>
  <c r="X291" i="10"/>
  <c r="Z279" i="10"/>
  <c r="W330" i="10"/>
  <c r="Y365" i="10"/>
  <c r="Y314" i="10"/>
  <c r="X328" i="10"/>
  <c r="X174" i="10"/>
  <c r="X215" i="10"/>
  <c r="X234" i="10"/>
  <c r="W187" i="10"/>
  <c r="Z199" i="10"/>
  <c r="Y239" i="10"/>
  <c r="Z259" i="10"/>
  <c r="Y282" i="10"/>
  <c r="Y305" i="10"/>
  <c r="X226" i="10"/>
  <c r="X264" i="10"/>
  <c r="W289" i="10"/>
  <c r="W204" i="10"/>
  <c r="W252" i="10"/>
  <c r="X278" i="10"/>
  <c r="Y302" i="10"/>
  <c r="Z272" i="10"/>
  <c r="Z312" i="10"/>
  <c r="Z333" i="10"/>
  <c r="W357" i="10"/>
  <c r="Y223" i="10"/>
  <c r="X279" i="10"/>
  <c r="X320" i="10"/>
  <c r="Y341" i="10"/>
  <c r="X360" i="10"/>
  <c r="X354" i="10"/>
  <c r="X312" i="10"/>
  <c r="X386" i="10"/>
  <c r="X21" i="10" s="1"/>
  <c r="X405" i="10"/>
  <c r="X40" i="10" s="1"/>
  <c r="X421" i="10"/>
  <c r="X56" i="10" s="1"/>
  <c r="W434" i="10"/>
  <c r="W69" i="10" s="1"/>
  <c r="Y445" i="10"/>
  <c r="Y80" i="10" s="1"/>
  <c r="X390" i="10"/>
  <c r="X25" i="10" s="1"/>
  <c r="X406" i="10"/>
  <c r="X41" i="10" s="1"/>
  <c r="X420" i="10"/>
  <c r="X55" i="10" s="1"/>
  <c r="X439" i="10"/>
  <c r="X74" i="10" s="1"/>
  <c r="X451" i="10"/>
  <c r="X86" i="10" s="1"/>
  <c r="W403" i="10"/>
  <c r="W38" i="10" s="1"/>
  <c r="W430" i="10"/>
  <c r="W65" i="10" s="1"/>
  <c r="W459" i="10"/>
  <c r="W94" i="10" s="1"/>
  <c r="X469" i="10"/>
  <c r="X104" i="10" s="1"/>
  <c r="W484" i="10"/>
  <c r="W119" i="10" s="1"/>
  <c r="W132" i="10"/>
  <c r="X143" i="10"/>
  <c r="W405" i="10"/>
  <c r="W40" i="10" s="1"/>
  <c r="X431" i="10"/>
  <c r="X66" i="10" s="1"/>
  <c r="W453" i="10"/>
  <c r="W88" i="10" s="1"/>
  <c r="X468" i="10"/>
  <c r="X103" i="10" s="1"/>
  <c r="X481" i="10"/>
  <c r="X116" i="10" s="1"/>
  <c r="W415" i="10"/>
  <c r="W50" i="10" s="1"/>
  <c r="X466" i="10"/>
  <c r="X101" i="10" s="1"/>
  <c r="W124" i="10"/>
  <c r="Z139" i="10"/>
  <c r="X154" i="10"/>
  <c r="W163" i="10"/>
  <c r="X173" i="10"/>
  <c r="X411" i="10"/>
  <c r="X46" i="10" s="1"/>
  <c r="X464" i="10"/>
  <c r="X99" i="10" s="1"/>
  <c r="X486" i="10"/>
  <c r="X121" i="10" s="1"/>
  <c r="W139" i="10"/>
  <c r="X394" i="10"/>
  <c r="X29" i="10" s="1"/>
  <c r="W469" i="10"/>
  <c r="W104" i="10" s="1"/>
  <c r="Z144" i="10"/>
  <c r="X159" i="10"/>
  <c r="W173" i="10"/>
  <c r="W446" i="10"/>
  <c r="W81" i="10" s="1"/>
  <c r="X129" i="10"/>
  <c r="Y152" i="10"/>
  <c r="X168" i="10"/>
  <c r="X181" i="10"/>
  <c r="Z191" i="10"/>
  <c r="X203" i="10"/>
  <c r="W212" i="10"/>
  <c r="X359" i="10"/>
  <c r="W350" i="10"/>
  <c r="W342" i="10"/>
  <c r="X335" i="10"/>
  <c r="V208" i="10"/>
  <c r="X352" i="10"/>
  <c r="W251" i="10"/>
  <c r="X361" i="10"/>
  <c r="X356" i="10"/>
  <c r="W233" i="10"/>
  <c r="X485" i="10"/>
  <c r="X120" i="10" s="1"/>
  <c r="X347" i="10"/>
  <c r="W349" i="10"/>
  <c r="X333" i="10"/>
  <c r="Y281" i="10"/>
  <c r="X253" i="10"/>
  <c r="Z353" i="10"/>
  <c r="X319" i="10"/>
  <c r="W294" i="10"/>
  <c r="Z235" i="10"/>
  <c r="W159" i="10"/>
  <c r="W193" i="10"/>
  <c r="X208" i="10"/>
  <c r="W218" i="10"/>
  <c r="X227" i="10"/>
  <c r="X236" i="10"/>
  <c r="Z430" i="10"/>
  <c r="Z65" i="10" s="1"/>
  <c r="X183" i="10"/>
  <c r="Y198" i="10"/>
  <c r="X178" i="10"/>
  <c r="X207" i="10"/>
  <c r="X224" i="10"/>
  <c r="Z236" i="10"/>
  <c r="Y248" i="10"/>
  <c r="Y257" i="10"/>
  <c r="Z266" i="10"/>
  <c r="X276" i="10"/>
  <c r="X285" i="10"/>
  <c r="Y294" i="10"/>
  <c r="Y303" i="10"/>
  <c r="W190" i="10"/>
  <c r="X217" i="10"/>
  <c r="Z234" i="10"/>
  <c r="W249" i="10"/>
  <c r="W261" i="10"/>
  <c r="X273" i="10"/>
  <c r="Y286" i="10"/>
  <c r="W298" i="10"/>
  <c r="X182" i="10"/>
  <c r="W219" i="10"/>
  <c r="X235" i="10"/>
  <c r="Y249" i="10"/>
  <c r="Y261" i="10"/>
  <c r="X274" i="10"/>
  <c r="W284" i="10"/>
  <c r="W296" i="10"/>
  <c r="W155" i="10"/>
  <c r="X237" i="10"/>
  <c r="X266" i="10"/>
  <c r="Y288" i="10"/>
  <c r="Z308" i="10"/>
  <c r="Z317" i="10"/>
  <c r="Z326" i="10"/>
  <c r="Y335" i="10"/>
  <c r="Z343" i="10"/>
  <c r="Z352" i="10"/>
  <c r="Z361" i="10"/>
  <c r="Y205" i="10"/>
  <c r="X240" i="10"/>
  <c r="W263" i="10"/>
  <c r="Z284" i="10"/>
  <c r="Y306" i="10"/>
  <c r="W316" i="10"/>
  <c r="X325" i="10"/>
  <c r="X334" i="10"/>
  <c r="X344" i="10"/>
  <c r="X353" i="10"/>
  <c r="X362" i="10"/>
  <c r="Z351" i="10"/>
  <c r="Z318" i="10"/>
  <c r="X259" i="10"/>
  <c r="X363" i="10"/>
  <c r="X345" i="10"/>
  <c r="W335" i="10"/>
  <c r="X317" i="10"/>
  <c r="Y297" i="10"/>
  <c r="Y244" i="10"/>
  <c r="Z241" i="10"/>
  <c r="X188" i="10"/>
  <c r="X392" i="10"/>
  <c r="X27" i="10" s="1"/>
  <c r="Y209" i="10"/>
  <c r="X307" i="10"/>
  <c r="Z325" i="10"/>
  <c r="Z216" i="10"/>
  <c r="Z263" i="10"/>
  <c r="X358" i="10"/>
  <c r="W324" i="10"/>
  <c r="Z362" i="10"/>
  <c r="X310" i="10"/>
  <c r="X151" i="10"/>
  <c r="Z196" i="10"/>
  <c r="W213" i="10"/>
  <c r="W225" i="10"/>
  <c r="X238" i="10"/>
  <c r="W135" i="10"/>
  <c r="W195" i="10"/>
  <c r="W184" i="10"/>
  <c r="Y218" i="10"/>
  <c r="Z233" i="10"/>
  <c r="Y250" i="10"/>
  <c r="X262" i="10"/>
  <c r="Z273" i="10"/>
  <c r="Y287" i="10"/>
  <c r="Y298" i="10"/>
  <c r="Z162" i="10"/>
  <c r="Z221" i="10"/>
  <c r="X242" i="10"/>
  <c r="X258" i="10"/>
  <c r="Z277" i="10"/>
  <c r="Z292" i="10"/>
  <c r="Z170" i="10"/>
  <c r="W223" i="10"/>
  <c r="Z243" i="10"/>
  <c r="Z258" i="10"/>
  <c r="W275" i="10"/>
  <c r="W290" i="10"/>
  <c r="W305" i="10"/>
  <c r="W248" i="10"/>
  <c r="W277" i="10"/>
  <c r="W306" i="10"/>
  <c r="Z319" i="10"/>
  <c r="X331" i="10"/>
  <c r="W341" i="10"/>
  <c r="Z354" i="10"/>
  <c r="W126" i="10"/>
  <c r="X232" i="10"/>
  <c r="X268" i="10"/>
  <c r="W297" i="10"/>
  <c r="X313" i="10"/>
  <c r="X327" i="10"/>
  <c r="X339" i="10"/>
  <c r="W351" i="10"/>
  <c r="X364" i="10"/>
  <c r="X342" i="10"/>
  <c r="Z327" i="10"/>
  <c r="Y275" i="10"/>
  <c r="X272" i="10"/>
  <c r="W359" i="10"/>
  <c r="X336" i="10"/>
  <c r="X321" i="10"/>
  <c r="W286" i="10"/>
  <c r="W395" i="10"/>
  <c r="W30" i="10" s="1"/>
  <c r="X401" i="10"/>
  <c r="X36" i="10" s="1"/>
  <c r="W409" i="10"/>
  <c r="W44" i="10" s="1"/>
  <c r="W418" i="10"/>
  <c r="W53" i="10" s="1"/>
  <c r="X425" i="10"/>
  <c r="X60" i="10" s="1"/>
  <c r="W432" i="10"/>
  <c r="W67" i="10" s="1"/>
  <c r="X438" i="10"/>
  <c r="X73" i="10" s="1"/>
  <c r="X447" i="10"/>
  <c r="X82" i="10" s="1"/>
  <c r="X453" i="10"/>
  <c r="X88" i="10" s="1"/>
  <c r="W396" i="10"/>
  <c r="W31" i="10" s="1"/>
  <c r="X402" i="10"/>
  <c r="X37" i="10" s="1"/>
  <c r="W412" i="10"/>
  <c r="W47" i="10" s="1"/>
  <c r="W419" i="10"/>
  <c r="W54" i="10" s="1"/>
  <c r="X427" i="10"/>
  <c r="X62" i="10" s="1"/>
  <c r="W436" i="10"/>
  <c r="W71" i="10" s="1"/>
  <c r="W445" i="10"/>
  <c r="W80" i="10" s="1"/>
  <c r="Z452" i="10"/>
  <c r="Z87" i="10" s="1"/>
  <c r="X388" i="10"/>
  <c r="X23" i="10" s="1"/>
  <c r="X410" i="10"/>
  <c r="X45" i="10" s="1"/>
  <c r="W425" i="10"/>
  <c r="W60" i="10" s="1"/>
  <c r="X436" i="10"/>
  <c r="X71" i="10" s="1"/>
  <c r="W457" i="10"/>
  <c r="W92" i="10" s="1"/>
  <c r="W464" i="10"/>
  <c r="W99" i="10" s="1"/>
  <c r="X471" i="10"/>
  <c r="X106" i="10" s="1"/>
  <c r="W479" i="10"/>
  <c r="W114" i="10" s="1"/>
  <c r="W122" i="10"/>
  <c r="Z128" i="10"/>
  <c r="X135" i="10"/>
  <c r="Y141" i="10"/>
  <c r="Z147" i="10"/>
  <c r="W401" i="10"/>
  <c r="W36" i="10" s="1"/>
  <c r="X419" i="10"/>
  <c r="X54" i="10" s="1"/>
  <c r="W435" i="10"/>
  <c r="W70" i="10" s="1"/>
  <c r="W447" i="10"/>
  <c r="W82" i="10" s="1"/>
  <c r="W458" i="10"/>
  <c r="W93" i="10" s="1"/>
  <c r="W465" i="10"/>
  <c r="W100" i="10" s="1"/>
  <c r="X472" i="10"/>
  <c r="X107" i="10" s="1"/>
  <c r="Y479" i="10"/>
  <c r="Y114" i="10" s="1"/>
  <c r="X391" i="10"/>
  <c r="X26" i="10" s="1"/>
  <c r="W422" i="10"/>
  <c r="W57" i="10" s="1"/>
  <c r="W456" i="10"/>
  <c r="W91" i="10" s="1"/>
  <c r="W470" i="10"/>
  <c r="W105" i="10" s="1"/>
  <c r="X484" i="10"/>
  <c r="X119" i="10" s="1"/>
  <c r="W129" i="10"/>
  <c r="W138" i="10"/>
  <c r="W146" i="10"/>
  <c r="W153" i="10"/>
  <c r="Z158" i="10"/>
  <c r="X164" i="10"/>
  <c r="X170" i="10"/>
  <c r="W176" i="10"/>
  <c r="X396" i="10"/>
  <c r="X31" i="10" s="1"/>
  <c r="W429" i="10"/>
  <c r="W64" i="10" s="1"/>
  <c r="W461" i="10"/>
  <c r="W96" i="10" s="1"/>
  <c r="W476" i="10"/>
  <c r="W111" i="10" s="1"/>
  <c r="W123" i="10"/>
  <c r="X132" i="10"/>
  <c r="W141" i="10"/>
  <c r="W149" i="10"/>
  <c r="X416" i="10"/>
  <c r="X51" i="10" s="1"/>
  <c r="W462" i="10"/>
  <c r="W97" i="10" s="1"/>
  <c r="Y122" i="10"/>
  <c r="X140" i="10"/>
  <c r="Y153" i="10"/>
  <c r="X161" i="10"/>
  <c r="X169" i="10"/>
  <c r="W177" i="10"/>
  <c r="W424" i="10"/>
  <c r="W59" i="10" s="1"/>
  <c r="X465" i="10"/>
  <c r="X100" i="10" s="1"/>
  <c r="X124" i="10"/>
  <c r="X142" i="10"/>
  <c r="Z154" i="10"/>
  <c r="X162" i="10"/>
  <c r="W170" i="10"/>
  <c r="W178" i="10"/>
  <c r="X184" i="10"/>
  <c r="X190" i="10"/>
  <c r="W196" i="10"/>
  <c r="Y201" i="10"/>
  <c r="Z207" i="10"/>
  <c r="X366" i="10"/>
  <c r="Y361" i="10"/>
  <c r="Y356" i="10"/>
  <c r="Y352" i="10"/>
  <c r="Y347" i="10"/>
  <c r="X343" i="10"/>
  <c r="Y338" i="10"/>
  <c r="Y334" i="10"/>
  <c r="Y329" i="10"/>
  <c r="Y325" i="10"/>
  <c r="Y320" i="10"/>
  <c r="X316" i="10"/>
  <c r="Y311" i="10"/>
  <c r="W307" i="10"/>
  <c r="Z305" i="10"/>
  <c r="Z301" i="10"/>
  <c r="Z296" i="10"/>
  <c r="X292" i="10"/>
  <c r="Z287" i="10"/>
  <c r="W283" i="10"/>
  <c r="W278" i="10"/>
  <c r="Y273" i="10"/>
  <c r="Y268" i="10"/>
  <c r="Y264" i="10"/>
  <c r="Y259" i="10"/>
  <c r="Z255" i="10"/>
  <c r="Z250" i="10"/>
  <c r="Q309" i="10"/>
  <c r="X449" i="10"/>
  <c r="X84" i="10" s="1"/>
  <c r="W133" i="10"/>
  <c r="W158" i="10"/>
  <c r="Y173" i="10"/>
  <c r="Z188" i="10"/>
  <c r="X196" i="10"/>
  <c r="X204" i="10"/>
  <c r="Z211" i="10"/>
  <c r="W217" i="10"/>
  <c r="W221" i="10"/>
  <c r="W226" i="10"/>
  <c r="W230" i="10"/>
  <c r="W235" i="10"/>
  <c r="X239" i="10"/>
  <c r="X246" i="10"/>
  <c r="Z251" i="10"/>
  <c r="Z257" i="10"/>
  <c r="X263" i="10"/>
  <c r="W270" i="10"/>
  <c r="X275" i="10"/>
  <c r="Z281" i="10"/>
  <c r="Z288" i="10"/>
  <c r="Z294" i="10"/>
  <c r="X300" i="10"/>
  <c r="Y309" i="10"/>
  <c r="W315" i="10"/>
  <c r="Y321" i="10"/>
  <c r="Y327" i="10"/>
  <c r="Y333" i="10"/>
  <c r="Y339" i="10"/>
  <c r="Y345" i="10"/>
  <c r="X351" i="10"/>
  <c r="W358" i="10"/>
  <c r="Y363" i="10"/>
  <c r="X209" i="10"/>
  <c r="X200" i="10"/>
  <c r="X193" i="10"/>
  <c r="Y185" i="10"/>
  <c r="Z175" i="10"/>
  <c r="X166" i="10"/>
  <c r="Y156" i="10"/>
  <c r="X138" i="10"/>
  <c r="W480" i="10"/>
  <c r="W115" i="10" s="1"/>
  <c r="X434" i="10"/>
  <c r="X69" i="10" s="1"/>
  <c r="W175" i="10"/>
  <c r="W165" i="10"/>
  <c r="X155" i="10"/>
  <c r="X136" i="10"/>
  <c r="Z476" i="10"/>
  <c r="Z111" i="10" s="1"/>
  <c r="W427" i="10"/>
  <c r="W62" i="10" s="1"/>
  <c r="W147" i="10"/>
  <c r="Z136" i="10"/>
  <c r="X125" i="10"/>
  <c r="W472" i="10"/>
  <c r="W107" i="10" s="1"/>
  <c r="W442" i="10"/>
  <c r="W77" i="10" s="1"/>
  <c r="W404" i="10"/>
  <c r="W39" i="10" s="1"/>
  <c r="Z174" i="10"/>
  <c r="Z167" i="10"/>
  <c r="W160" i="10"/>
  <c r="Z151" i="10"/>
  <c r="W142" i="10"/>
  <c r="X131" i="10"/>
  <c r="W481" i="10"/>
  <c r="W116" i="10" s="1"/>
  <c r="W463" i="10"/>
  <c r="W98" i="10" s="1"/>
  <c r="X432" i="10"/>
  <c r="X67" i="10" s="1"/>
  <c r="W485" i="10"/>
  <c r="W120" i="10" s="1"/>
  <c r="X476" i="10"/>
  <c r="X111" i="10" s="1"/>
  <c r="Y466" i="10"/>
  <c r="Y101" i="10" s="1"/>
  <c r="X455" i="10"/>
  <c r="X90" i="10" s="1"/>
  <c r="X441" i="10"/>
  <c r="X76" i="10" s="1"/>
  <c r="W423" i="10"/>
  <c r="W58" i="10" s="1"/>
  <c r="X393" i="10"/>
  <c r="X28" i="10" s="1"/>
  <c r="W145" i="10"/>
  <c r="W137" i="10"/>
  <c r="W127" i="10"/>
  <c r="X482" i="10"/>
  <c r="X117" i="10" s="1"/>
  <c r="X473" i="10"/>
  <c r="X108" i="10" s="1"/>
  <c r="X462" i="10"/>
  <c r="X97" i="10" s="1"/>
  <c r="X445" i="10"/>
  <c r="X80" i="10" s="1"/>
  <c r="W426" i="10"/>
  <c r="W61" i="10" s="1"/>
  <c r="W407" i="10"/>
  <c r="W42" i="10" s="1"/>
  <c r="W455" i="10"/>
  <c r="W90" i="10" s="1"/>
  <c r="X446" i="10"/>
  <c r="X81" i="10" s="1"/>
  <c r="W433" i="10"/>
  <c r="W68" i="10" s="1"/>
  <c r="X422" i="10"/>
  <c r="X57" i="10" s="1"/>
  <c r="X413" i="10"/>
  <c r="X48" i="10" s="1"/>
  <c r="Z400" i="10"/>
  <c r="Z35" i="10" s="1"/>
  <c r="Y455" i="10"/>
  <c r="Y90" i="10" s="1"/>
  <c r="W449" i="10"/>
  <c r="W84" i="10" s="1"/>
  <c r="W437" i="10"/>
  <c r="W72" i="10" s="1"/>
  <c r="X428" i="10"/>
  <c r="X63" i="10" s="1"/>
  <c r="W420" i="10"/>
  <c r="W55" i="10" s="1"/>
  <c r="X407" i="10"/>
  <c r="X42" i="10" s="1"/>
  <c r="W398" i="10"/>
  <c r="W33" i="10" s="1"/>
  <c r="Y269" i="10"/>
  <c r="X326" i="10"/>
  <c r="Y349" i="10"/>
  <c r="X247" i="10"/>
  <c r="W288" i="10"/>
  <c r="Z309" i="10"/>
  <c r="Z360" i="10"/>
  <c r="X348" i="10"/>
  <c r="W332" i="10"/>
  <c r="X318" i="10"/>
  <c r="Y290" i="10"/>
  <c r="W250" i="10"/>
  <c r="W186" i="10"/>
  <c r="X350" i="10"/>
  <c r="Z336" i="10"/>
  <c r="W322" i="10"/>
  <c r="Z300" i="10"/>
  <c r="X260" i="10"/>
  <c r="W198" i="10"/>
  <c r="W287" i="10"/>
  <c r="Z267" i="10"/>
  <c r="Z246" i="10"/>
  <c r="W214" i="10"/>
  <c r="W302" i="10"/>
  <c r="W280" i="10"/>
  <c r="Z254" i="10"/>
  <c r="Z229" i="10"/>
  <c r="X201" i="10"/>
  <c r="Y296" i="10"/>
  <c r="Y280" i="10"/>
  <c r="Z264" i="10"/>
  <c r="W246" i="10"/>
  <c r="Z227" i="10"/>
  <c r="W192" i="10"/>
  <c r="W191" i="10"/>
  <c r="X243" i="10"/>
  <c r="X229" i="10"/>
  <c r="X212" i="10"/>
  <c r="W185" i="10"/>
  <c r="Y219" i="10"/>
  <c r="W343" i="10"/>
  <c r="V301" i="10"/>
  <c r="V365" i="10"/>
  <c r="V259" i="10"/>
  <c r="V210" i="10"/>
  <c r="V336" i="10"/>
  <c r="V308" i="10"/>
  <c r="V353" i="10"/>
  <c r="V192" i="10"/>
  <c r="V357" i="10"/>
  <c r="Q337" i="10"/>
  <c r="Q347" i="10"/>
  <c r="V286" i="10"/>
  <c r="V282" i="10"/>
  <c r="V221" i="10"/>
  <c r="V187" i="10"/>
  <c r="V324" i="10"/>
  <c r="V316" i="10"/>
  <c r="V239" i="10"/>
  <c r="Q213" i="10"/>
  <c r="Q311" i="10"/>
  <c r="Q315" i="10"/>
  <c r="Q188" i="10"/>
  <c r="Q300" i="10"/>
  <c r="Q56" i="10"/>
  <c r="Q247" i="10"/>
  <c r="Q460" i="10"/>
  <c r="Q301" i="10"/>
  <c r="Q326" i="10"/>
  <c r="Q310" i="10"/>
  <c r="Q474" i="10"/>
  <c r="Q459" i="10"/>
  <c r="Q468" i="10"/>
  <c r="Q331" i="10"/>
  <c r="Q145" i="10"/>
  <c r="Q363" i="10"/>
  <c r="Q158" i="10"/>
  <c r="Q95" i="10"/>
  <c r="Q447" i="10"/>
  <c r="Q57" i="10"/>
  <c r="Q7" i="10"/>
  <c r="Q229" i="10"/>
  <c r="Q285" i="10"/>
  <c r="Q354" i="10"/>
  <c r="Q215" i="10"/>
  <c r="Q179" i="10"/>
  <c r="Q187" i="10"/>
  <c r="Q263" i="10"/>
  <c r="Q287" i="10"/>
  <c r="Q303" i="10"/>
  <c r="Q361" i="10"/>
  <c r="Q214" i="10"/>
  <c r="Q476" i="10"/>
  <c r="Q384" i="10"/>
  <c r="Q52" i="10"/>
  <c r="Q9" i="10"/>
  <c r="M103" i="10"/>
  <c r="Q103" i="10" s="1"/>
  <c r="Q484" i="10"/>
  <c r="Q53" i="10"/>
  <c r="Q327" i="10"/>
  <c r="Q132" i="10"/>
  <c r="Q483" i="10"/>
  <c r="Q296" i="10"/>
  <c r="Q284" i="10"/>
  <c r="Q280" i="10"/>
  <c r="Q212" i="10"/>
  <c r="Q204" i="10"/>
  <c r="Q196" i="10"/>
  <c r="M119" i="10"/>
  <c r="Q119" i="10" s="1"/>
  <c r="Q61" i="10"/>
  <c r="Q116" i="10"/>
  <c r="Q178" i="10"/>
  <c r="Q162" i="10"/>
  <c r="Q154" i="10"/>
  <c r="Q218" i="10"/>
  <c r="Q304" i="10"/>
  <c r="Q292" i="10"/>
  <c r="Q288" i="10"/>
  <c r="Q276" i="10"/>
  <c r="M111" i="10"/>
  <c r="Q111" i="10" s="1"/>
  <c r="Q171" i="10"/>
  <c r="Q134" i="10"/>
  <c r="Q126" i="10"/>
  <c r="Q251" i="10"/>
  <c r="Q297" i="10"/>
  <c r="Q325" i="10"/>
  <c r="Q30" i="10"/>
  <c r="Q313" i="10"/>
  <c r="Q329" i="10"/>
  <c r="Q349" i="10"/>
  <c r="Q365" i="10"/>
  <c r="Q466" i="10"/>
  <c r="Q68" i="10"/>
  <c r="Q334" i="10"/>
  <c r="Q330" i="10"/>
  <c r="Q322" i="10"/>
  <c r="Q318" i="10"/>
  <c r="Q314" i="10"/>
  <c r="Q306" i="10"/>
  <c r="M82" i="10"/>
  <c r="Q82" i="10" s="1"/>
  <c r="Q38" i="10"/>
  <c r="Q428" i="10"/>
  <c r="Q379" i="10"/>
  <c r="Q267" i="10"/>
  <c r="Q281" i="10"/>
  <c r="Q352" i="10"/>
  <c r="V332" i="10"/>
  <c r="V337" i="10"/>
  <c r="V346" i="10"/>
  <c r="V227" i="10"/>
  <c r="V220" i="10"/>
  <c r="V272" i="10"/>
  <c r="V319" i="10"/>
  <c r="V300" i="10"/>
  <c r="V362" i="10"/>
  <c r="V280" i="10"/>
  <c r="V347" i="10"/>
  <c r="V288" i="10"/>
  <c r="Q345" i="10"/>
  <c r="Q353" i="10"/>
  <c r="Q366" i="10"/>
  <c r="Q338" i="10"/>
  <c r="Q209" i="10"/>
  <c r="V204" i="10"/>
  <c r="V196" i="10"/>
  <c r="Q307" i="10"/>
  <c r="V291" i="10"/>
  <c r="V271" i="10"/>
  <c r="V255" i="10"/>
  <c r="V251" i="10"/>
  <c r="V242" i="10"/>
  <c r="V238" i="10"/>
  <c r="V234" i="10"/>
  <c r="V230" i="10"/>
  <c r="V226" i="10"/>
  <c r="V222" i="10"/>
  <c r="V218" i="10"/>
  <c r="V321" i="10"/>
  <c r="V260" i="10"/>
  <c r="V244" i="10"/>
  <c r="V325" i="10"/>
  <c r="V313" i="10"/>
  <c r="V309" i="10"/>
  <c r="V295" i="10"/>
  <c r="V241" i="10"/>
  <c r="V225" i="10"/>
  <c r="V262" i="10"/>
  <c r="V214" i="10"/>
  <c r="V303" i="10"/>
  <c r="V320" i="10"/>
  <c r="V326" i="10"/>
  <c r="V366" i="10"/>
  <c r="V340" i="10"/>
  <c r="V290" i="10"/>
  <c r="V349" i="10"/>
  <c r="V277" i="10"/>
  <c r="V350" i="10"/>
  <c r="V466" i="10"/>
  <c r="V206" i="10"/>
  <c r="V202" i="10"/>
  <c r="V198" i="10"/>
  <c r="V194" i="10"/>
  <c r="V186" i="10"/>
  <c r="V182" i="10"/>
  <c r="V162" i="10"/>
  <c r="V157" i="10"/>
  <c r="V146" i="10"/>
  <c r="V134" i="10"/>
  <c r="V127" i="10"/>
  <c r="V168" i="10"/>
  <c r="V163" i="10"/>
  <c r="V122" i="10"/>
  <c r="V113" i="10"/>
  <c r="Q323" i="10"/>
  <c r="V293" i="10"/>
  <c r="V289" i="10"/>
  <c r="V285" i="10"/>
  <c r="V273" i="10"/>
  <c r="V249" i="10"/>
  <c r="V245" i="10"/>
  <c r="V240" i="10"/>
  <c r="V236" i="10"/>
  <c r="V237" i="10"/>
  <c r="V327" i="10"/>
  <c r="V311" i="10"/>
  <c r="V258" i="10"/>
  <c r="V305" i="10"/>
  <c r="V312" i="10"/>
  <c r="V330" i="10"/>
  <c r="V360" i="10"/>
  <c r="V355" i="10"/>
  <c r="V363" i="10"/>
  <c r="V265" i="10"/>
  <c r="V342" i="10"/>
  <c r="V338" i="10"/>
  <c r="V294" i="10"/>
  <c r="V354" i="10"/>
  <c r="V136" i="10"/>
  <c r="V279" i="10"/>
  <c r="V351" i="10"/>
  <c r="V359" i="10"/>
  <c r="V307" i="10"/>
  <c r="V358" i="10"/>
  <c r="V287" i="10"/>
  <c r="V274" i="10"/>
  <c r="V267" i="10"/>
  <c r="V343" i="10"/>
  <c r="V339" i="10"/>
  <c r="V302" i="10"/>
  <c r="V281" i="10"/>
  <c r="V266" i="10"/>
  <c r="V229" i="10"/>
  <c r="V188" i="10"/>
  <c r="V213" i="10"/>
  <c r="V331" i="10"/>
  <c r="Q362" i="10"/>
  <c r="Q346" i="10"/>
  <c r="V139" i="10"/>
  <c r="V451" i="10"/>
  <c r="V264" i="10"/>
  <c r="V243" i="10"/>
  <c r="V231" i="10"/>
  <c r="V219" i="10"/>
  <c r="V322" i="10"/>
  <c r="V318" i="10"/>
  <c r="V299" i="10"/>
  <c r="V315" i="10"/>
  <c r="V323" i="10"/>
  <c r="V344" i="10"/>
  <c r="V361" i="10"/>
  <c r="V348" i="10"/>
  <c r="V352" i="10"/>
  <c r="V356" i="10"/>
  <c r="V364" i="10"/>
  <c r="V283" i="10"/>
  <c r="V345" i="10"/>
  <c r="V341" i="10"/>
  <c r="V269" i="10"/>
  <c r="V178" i="10"/>
  <c r="V184" i="10"/>
  <c r="V333" i="10"/>
  <c r="V329" i="10"/>
  <c r="V257" i="10"/>
  <c r="V261" i="10"/>
  <c r="V253" i="10"/>
  <c r="V275" i="10"/>
  <c r="V247" i="10"/>
  <c r="V263" i="10"/>
  <c r="V460" i="10"/>
  <c r="V209" i="10"/>
  <c r="V205" i="10"/>
  <c r="V189" i="10"/>
  <c r="V166" i="10"/>
  <c r="U86" i="10"/>
  <c r="V86" i="10" s="1"/>
  <c r="V270" i="10"/>
  <c r="V254" i="10"/>
  <c r="V250" i="10"/>
  <c r="V233" i="10"/>
  <c r="V304" i="10"/>
  <c r="V335" i="10"/>
  <c r="V199" i="10"/>
  <c r="V174" i="10"/>
  <c r="V164" i="10"/>
  <c r="V149" i="10"/>
  <c r="V138" i="10"/>
  <c r="V133" i="10"/>
  <c r="V126" i="10"/>
  <c r="V79" i="10"/>
  <c r="V435" i="10"/>
  <c r="V181" i="10"/>
  <c r="V173" i="10"/>
  <c r="V125" i="10"/>
  <c r="V292" i="10"/>
  <c r="V284" i="10"/>
  <c r="V276" i="10"/>
  <c r="V268" i="10"/>
  <c r="V256" i="10"/>
  <c r="V252" i="10"/>
  <c r="V248" i="10"/>
  <c r="V235" i="10"/>
  <c r="V223" i="10"/>
  <c r="V156" i="10"/>
  <c r="V172" i="10"/>
  <c r="V123" i="10"/>
  <c r="V191" i="10"/>
  <c r="V185" i="10"/>
  <c r="V317" i="10"/>
  <c r="V297" i="10"/>
  <c r="V217" i="10"/>
  <c r="V334" i="10"/>
  <c r="V314" i="10"/>
  <c r="V310" i="10"/>
  <c r="V306" i="10"/>
  <c r="V296" i="10"/>
  <c r="V278" i="10"/>
  <c r="V246" i="10"/>
  <c r="V215" i="10"/>
  <c r="V176" i="10"/>
  <c r="Q427" i="10"/>
  <c r="M62" i="10"/>
  <c r="Q62" i="10" s="1"/>
  <c r="Q454" i="10"/>
  <c r="M109" i="10"/>
  <c r="Q109" i="10" s="1"/>
  <c r="Q469" i="10"/>
  <c r="M104" i="10"/>
  <c r="Q104" i="10" s="1"/>
  <c r="M101" i="10"/>
  <c r="Q101" i="10" s="1"/>
  <c r="Q461" i="10"/>
  <c r="M96" i="10"/>
  <c r="Q96" i="10" s="1"/>
  <c r="M94" i="10"/>
  <c r="Q94" i="10" s="1"/>
  <c r="M89" i="10"/>
  <c r="Q89" i="10" s="1"/>
  <c r="Q72" i="10"/>
  <c r="Q2" i="10"/>
  <c r="Q248" i="10"/>
  <c r="Q264" i="10"/>
  <c r="Q475" i="10"/>
  <c r="Q71" i="10"/>
  <c r="Q208" i="10"/>
  <c r="Q200" i="10"/>
  <c r="Q192" i="10"/>
  <c r="Q184" i="10"/>
  <c r="Q148" i="10"/>
  <c r="Q144" i="10"/>
  <c r="Q462" i="10"/>
  <c r="M97" i="10"/>
  <c r="Q97" i="10" s="1"/>
  <c r="Q470" i="10"/>
  <c r="M105" i="10"/>
  <c r="Q105" i="10" s="1"/>
  <c r="Q440" i="10"/>
  <c r="Q451" i="10"/>
  <c r="M86" i="10"/>
  <c r="Q86" i="10" s="1"/>
  <c r="Q442" i="10"/>
  <c r="M77" i="10"/>
  <c r="Q77" i="10" s="1"/>
  <c r="Q456" i="10"/>
  <c r="M91" i="10"/>
  <c r="Q91" i="10" s="1"/>
  <c r="Q446" i="10"/>
  <c r="M81" i="10"/>
  <c r="Q81" i="10" s="1"/>
  <c r="Q450" i="10"/>
  <c r="M118" i="10"/>
  <c r="Q118" i="10" s="1"/>
  <c r="Q110" i="10"/>
  <c r="M85" i="10"/>
  <c r="Q85" i="10" s="1"/>
  <c r="Q246" i="10"/>
  <c r="Q262" i="10"/>
  <c r="Q312" i="10"/>
  <c r="Q316" i="10"/>
  <c r="Q328" i="10"/>
  <c r="Q332" i="10"/>
  <c r="Q93" i="10"/>
  <c r="Q174" i="10"/>
  <c r="Q170" i="10"/>
  <c r="Q166" i="10"/>
  <c r="Q121" i="10"/>
  <c r="Q478" i="10"/>
  <c r="M113" i="10"/>
  <c r="Q113" i="10" s="1"/>
  <c r="Q79" i="10"/>
  <c r="Q419" i="10"/>
  <c r="M54" i="10"/>
  <c r="Q54" i="10" s="1"/>
  <c r="Q485" i="10"/>
  <c r="M120" i="10"/>
  <c r="Q120" i="10" s="1"/>
  <c r="Q117" i="10"/>
  <c r="Q477" i="10"/>
  <c r="M112" i="10"/>
  <c r="Q112" i="10" s="1"/>
  <c r="Q102" i="10"/>
  <c r="Q455" i="10"/>
  <c r="M90" i="10"/>
  <c r="Q90" i="10" s="1"/>
  <c r="Q78" i="10"/>
  <c r="M75" i="10"/>
  <c r="Q75" i="10" s="1"/>
  <c r="Q73" i="10"/>
  <c r="Q423" i="10"/>
  <c r="M58" i="10"/>
  <c r="Q58" i="10" s="1"/>
  <c r="Q49" i="10"/>
  <c r="Q370" i="10"/>
  <c r="M5" i="10"/>
  <c r="Q5" i="10" s="1"/>
  <c r="Q486" i="10"/>
  <c r="Q480" i="10"/>
  <c r="M115" i="10"/>
  <c r="Q115" i="10" s="1"/>
  <c r="Q472" i="10"/>
  <c r="Q464" i="10"/>
  <c r="Q458" i="10"/>
  <c r="Q87" i="10"/>
  <c r="Q83" i="10"/>
  <c r="Q444" i="10"/>
  <c r="Q431" i="10"/>
  <c r="Q63" i="10"/>
  <c r="Q415" i="10"/>
  <c r="M50" i="10"/>
  <c r="Q50" i="10" s="1"/>
  <c r="Q408" i="10"/>
  <c r="M43" i="10"/>
  <c r="Q43" i="10" s="1"/>
  <c r="Q34" i="10"/>
  <c r="M66" i="10"/>
  <c r="Q66" i="10" s="1"/>
  <c r="Q55" i="10"/>
  <c r="Q47" i="10"/>
  <c r="Q406" i="10"/>
  <c r="M41" i="10"/>
  <c r="Q41" i="10" s="1"/>
  <c r="Q48" i="10"/>
  <c r="Q378" i="10"/>
  <c r="M13" i="10"/>
  <c r="Q13" i="10" s="1"/>
  <c r="Q10" i="10"/>
  <c r="Q397" i="10"/>
  <c r="M32" i="10"/>
  <c r="Q32" i="10" s="1"/>
  <c r="Q386" i="10"/>
  <c r="Q372" i="10"/>
  <c r="Q256" i="10"/>
  <c r="Q272" i="10"/>
  <c r="Q157" i="10"/>
  <c r="Q197" i="10"/>
  <c r="Q275" i="10"/>
  <c r="Q177" i="10"/>
  <c r="Q185" i="10"/>
  <c r="Q221" i="10"/>
  <c r="Q228" i="10"/>
  <c r="Q286" i="10"/>
  <c r="Q302" i="10"/>
  <c r="Q336" i="10"/>
  <c r="Q348" i="10"/>
  <c r="Q364" i="10"/>
  <c r="M99" i="10"/>
  <c r="Q99" i="10" s="1"/>
  <c r="Q18" i="10"/>
  <c r="Q359" i="10"/>
  <c r="Q355" i="10"/>
  <c r="Q351" i="10"/>
  <c r="Q343" i="10"/>
  <c r="Q339" i="10"/>
  <c r="Q243" i="10"/>
  <c r="Q239" i="10"/>
  <c r="Q235" i="10"/>
  <c r="Q231" i="10"/>
  <c r="Q142" i="10"/>
  <c r="M107" i="10"/>
  <c r="Q107" i="10" s="1"/>
  <c r="Q430" i="10"/>
  <c r="Q138" i="10"/>
  <c r="Q130" i="10"/>
  <c r="Q122" i="10"/>
  <c r="Q479" i="10"/>
  <c r="Q463" i="10"/>
  <c r="Q437" i="10"/>
  <c r="Q210" i="10"/>
  <c r="Q206" i="10"/>
  <c r="Q202" i="10"/>
  <c r="Q198" i="10"/>
  <c r="Q194" i="10"/>
  <c r="Q190" i="10"/>
  <c r="Q186" i="10"/>
  <c r="Q182" i="10"/>
  <c r="Q150" i="10"/>
  <c r="Q146" i="10"/>
  <c r="Q471" i="10"/>
  <c r="Q434" i="10"/>
  <c r="Q429" i="10"/>
  <c r="Q441" i="10"/>
  <c r="Q369" i="10"/>
  <c r="Q410" i="10"/>
  <c r="M45" i="10"/>
  <c r="Q45" i="10" s="1"/>
  <c r="Q418" i="10"/>
  <c r="Q393" i="10"/>
  <c r="M28" i="10"/>
  <c r="Q28" i="10" s="1"/>
  <c r="Q392" i="10"/>
  <c r="M27" i="10"/>
  <c r="Q27" i="10" s="1"/>
  <c r="M14" i="10"/>
  <c r="Q14" i="10" s="1"/>
  <c r="Q15" i="10"/>
  <c r="Q394" i="10"/>
  <c r="M29" i="10"/>
  <c r="Q29" i="10" s="1"/>
  <c r="M19" i="10"/>
  <c r="Q19" i="10" s="1"/>
  <c r="Q12" i="10"/>
  <c r="Q149" i="10"/>
  <c r="Q173" i="10"/>
  <c r="Q436" i="10"/>
  <c r="Q426" i="10"/>
  <c r="Q385" i="10"/>
  <c r="M20" i="10"/>
  <c r="Q20" i="10" s="1"/>
  <c r="Q481" i="10"/>
  <c r="Q114" i="10"/>
  <c r="Q473" i="10"/>
  <c r="Q106" i="10"/>
  <c r="Q465" i="10"/>
  <c r="Q98" i="10"/>
  <c r="Q92" i="10"/>
  <c r="Q453" i="10"/>
  <c r="Q449" i="10"/>
  <c r="Q445" i="10"/>
  <c r="Q438" i="10"/>
  <c r="Q70" i="10"/>
  <c r="Q67" i="10"/>
  <c r="Q435" i="10"/>
  <c r="Q398" i="10"/>
  <c r="M33" i="10"/>
  <c r="Q33" i="10" s="1"/>
  <c r="Q60" i="10"/>
  <c r="Q388" i="10"/>
  <c r="M23" i="10"/>
  <c r="Q23" i="10" s="1"/>
  <c r="Q374" i="10"/>
  <c r="Q8" i="10"/>
  <c r="Q387" i="10"/>
  <c r="M22" i="10"/>
  <c r="Q22" i="10" s="1"/>
  <c r="Q371" i="10"/>
  <c r="M6" i="10"/>
  <c r="Q6" i="10" s="1"/>
  <c r="Q240" i="10"/>
  <c r="Q254" i="10"/>
  <c r="Q270" i="10"/>
  <c r="Q153" i="10"/>
  <c r="Q193" i="10"/>
  <c r="M100" i="10"/>
  <c r="Q100" i="10" s="1"/>
  <c r="Q211" i="10"/>
  <c r="Q291" i="10"/>
  <c r="Q181" i="10"/>
  <c r="Q189" i="10"/>
  <c r="Q230" i="10"/>
  <c r="Q350" i="10"/>
  <c r="Q452" i="10"/>
  <c r="Q333" i="10"/>
  <c r="Q317" i="10"/>
  <c r="Q273" i="10"/>
  <c r="Q269" i="10"/>
  <c r="Q265" i="10"/>
  <c r="Q261" i="10"/>
  <c r="Q257" i="10"/>
  <c r="Q253" i="10"/>
  <c r="Q249" i="10"/>
  <c r="Q245" i="10"/>
  <c r="Q207" i="10"/>
  <c r="Q199" i="10"/>
  <c r="Q191" i="10"/>
  <c r="Q183" i="10"/>
  <c r="Q175" i="10"/>
  <c r="Q167" i="10"/>
  <c r="Q159" i="10"/>
  <c r="Q151" i="10"/>
  <c r="Q143" i="10"/>
  <c r="Q128" i="10"/>
  <c r="M108" i="10"/>
  <c r="Q108" i="10" s="1"/>
  <c r="Q448" i="10"/>
  <c r="Q147" i="10"/>
  <c r="Q136" i="10"/>
  <c r="M88" i="10"/>
  <c r="Q88" i="10" s="1"/>
  <c r="M80" i="10"/>
  <c r="Q80" i="10" s="1"/>
  <c r="Q64" i="10"/>
  <c r="Q224" i="10"/>
  <c r="Q220" i="10"/>
  <c r="Q216" i="10"/>
  <c r="Q180" i="10"/>
  <c r="Q176" i="10"/>
  <c r="Q172" i="10"/>
  <c r="Q168" i="10"/>
  <c r="Q164" i="10"/>
  <c r="Q160" i="10"/>
  <c r="Q156" i="10"/>
  <c r="Q152" i="10"/>
  <c r="Q457" i="10"/>
  <c r="M84" i="10"/>
  <c r="Q84" i="10" s="1"/>
  <c r="Q76" i="10"/>
  <c r="Q139" i="10"/>
  <c r="Q135" i="10"/>
  <c r="Q131" i="10"/>
  <c r="Q127" i="10"/>
  <c r="Q123" i="10"/>
  <c r="Q433" i="10"/>
  <c r="M65" i="10"/>
  <c r="Q65" i="10" s="1"/>
  <c r="Q42" i="10"/>
  <c r="Q400" i="10"/>
  <c r="M35" i="10"/>
  <c r="Q35" i="10" s="1"/>
  <c r="Q141" i="10"/>
  <c r="Q137" i="10"/>
  <c r="Q133" i="10"/>
  <c r="Q129" i="10"/>
  <c r="Q125" i="10"/>
  <c r="Q443" i="10"/>
  <c r="Q439" i="10"/>
  <c r="M74" i="10"/>
  <c r="Q74" i="10" s="1"/>
  <c r="M69" i="10"/>
  <c r="Q69" i="10" s="1"/>
  <c r="Q59" i="10"/>
  <c r="Q51" i="10"/>
  <c r="Q402" i="10"/>
  <c r="M37" i="10"/>
  <c r="Q37" i="10" s="1"/>
  <c r="Q17" i="10"/>
  <c r="Q422" i="10"/>
  <c r="Q414" i="10"/>
  <c r="Q381" i="10"/>
  <c r="M16" i="10"/>
  <c r="Q16" i="10" s="1"/>
  <c r="M21" i="10"/>
  <c r="Q21" i="10" s="1"/>
  <c r="Q395" i="10"/>
  <c r="M4" i="10"/>
  <c r="Q4" i="10" s="1"/>
  <c r="Q241" i="10"/>
  <c r="Q421" i="10"/>
  <c r="Q413" i="10"/>
  <c r="Q40" i="10"/>
  <c r="Q425" i="10"/>
  <c r="Q417" i="10"/>
  <c r="Q44" i="10"/>
  <c r="Q36" i="10"/>
  <c r="Q411" i="10"/>
  <c r="Q407" i="10"/>
  <c r="Q403" i="10"/>
  <c r="Q399" i="10"/>
  <c r="M46" i="10"/>
  <c r="Q46" i="10" s="1"/>
  <c r="Q409" i="10"/>
  <c r="Q405" i="10"/>
  <c r="Q401" i="10"/>
  <c r="Q377" i="10"/>
  <c r="Q389" i="10"/>
  <c r="Q373" i="10"/>
  <c r="Q391" i="10"/>
  <c r="M24" i="10"/>
  <c r="Q24" i="10" s="1"/>
  <c r="Q383" i="10"/>
  <c r="Q376" i="10"/>
  <c r="Q367" i="10"/>
  <c r="Q205" i="10"/>
  <c r="Q237" i="10"/>
  <c r="Q278" i="10"/>
  <c r="Q294" i="10"/>
  <c r="Q308" i="10"/>
  <c r="Q320" i="10"/>
  <c r="Q324" i="10"/>
  <c r="Q340" i="10"/>
  <c r="Q344" i="10"/>
  <c r="Q356" i="10"/>
  <c r="Q360" i="10"/>
  <c r="Q227" i="10"/>
  <c r="Q242" i="10"/>
  <c r="Q250" i="10"/>
  <c r="Q260" i="10"/>
  <c r="Q282" i="10"/>
  <c r="Q225" i="10"/>
  <c r="Q26" i="10"/>
  <c r="Q11" i="10"/>
  <c r="Q424" i="10"/>
  <c r="Q420" i="10"/>
  <c r="Q416" i="10"/>
  <c r="Q412" i="10"/>
  <c r="Q39" i="10"/>
  <c r="Q25" i="10"/>
  <c r="Q396" i="10"/>
  <c r="Q380" i="10"/>
  <c r="M31" i="10"/>
  <c r="Q31" i="10" s="1"/>
  <c r="Q390" i="10"/>
  <c r="Q382" i="10"/>
  <c r="Q375" i="10"/>
  <c r="Q368" i="10"/>
  <c r="M3" i="10"/>
  <c r="Q3" i="10" s="1"/>
  <c r="Q432" i="10"/>
  <c r="Q124" i="10"/>
  <c r="Q163" i="10"/>
  <c r="Q201" i="10"/>
  <c r="Q342" i="10"/>
  <c r="Q358" i="10"/>
  <c r="Q244" i="10"/>
  <c r="Q266" i="10"/>
  <c r="Q298" i="10"/>
  <c r="Q219" i="10"/>
  <c r="Q467" i="10"/>
  <c r="Q165" i="10"/>
  <c r="Q203" i="10"/>
  <c r="Q223" i="10"/>
  <c r="Q236" i="10"/>
  <c r="Q279" i="10"/>
  <c r="Q295" i="10"/>
  <c r="Q321" i="10"/>
  <c r="Q341" i="10"/>
  <c r="Q357" i="10"/>
  <c r="Q140" i="10"/>
  <c r="Q232" i="10"/>
  <c r="Q252" i="10"/>
  <c r="Q274" i="10"/>
  <c r="Q222" i="10"/>
  <c r="Q217" i="10"/>
  <c r="Q233" i="10"/>
  <c r="Q259" i="10"/>
  <c r="Q283" i="10"/>
  <c r="Q305" i="10"/>
  <c r="Q482" i="10"/>
  <c r="Q161" i="10"/>
  <c r="Q226" i="10"/>
  <c r="Q238" i="10"/>
  <c r="Q255" i="10"/>
  <c r="Q271" i="10"/>
  <c r="Q277" i="10"/>
  <c r="Q293" i="10"/>
  <c r="Q319" i="10"/>
  <c r="Q335" i="10"/>
  <c r="Q155" i="10"/>
  <c r="Q195" i="10"/>
  <c r="Q258" i="10"/>
  <c r="Q268" i="10"/>
  <c r="Q290" i="10"/>
  <c r="Q169" i="10"/>
  <c r="Q404" i="10"/>
  <c r="Q289" i="10"/>
  <c r="Q299" i="10"/>
  <c r="Q234" i="10"/>
  <c r="V67" i="10"/>
  <c r="V169" i="10"/>
  <c r="V190" i="10"/>
  <c r="U92" i="10"/>
  <c r="V92" i="10" s="1"/>
  <c r="V457" i="10"/>
  <c r="V177" i="10"/>
  <c r="V153" i="10"/>
  <c r="V193" i="10"/>
  <c r="V65" i="10"/>
  <c r="V446" i="10"/>
  <c r="V430" i="10"/>
  <c r="V212" i="10"/>
  <c r="V200" i="10"/>
  <c r="V170" i="10"/>
  <c r="V167" i="10"/>
  <c r="V130" i="10"/>
  <c r="V175" i="10"/>
  <c r="V159" i="10"/>
  <c r="V151" i="10"/>
  <c r="V131" i="10"/>
  <c r="V102" i="10"/>
  <c r="V68" i="10"/>
  <c r="V298" i="10"/>
  <c r="V228" i="10"/>
  <c r="V104" i="10"/>
  <c r="V440" i="10"/>
  <c r="V201" i="10"/>
  <c r="V171" i="10"/>
  <c r="V161" i="10"/>
  <c r="V152" i="10"/>
  <c r="V137" i="10"/>
  <c r="V124" i="10"/>
  <c r="V467" i="10"/>
  <c r="Z60" i="10"/>
  <c r="V470" i="10"/>
  <c r="V211" i="10"/>
  <c r="V207" i="10"/>
  <c r="V203" i="10"/>
  <c r="V195" i="10"/>
  <c r="V183" i="10"/>
  <c r="V158" i="10"/>
  <c r="V147" i="10"/>
  <c r="V142" i="10"/>
  <c r="V129" i="10"/>
  <c r="V165" i="10"/>
  <c r="V160" i="10"/>
  <c r="V155" i="10"/>
  <c r="V150" i="10"/>
  <c r="V145" i="10"/>
  <c r="V135" i="10"/>
  <c r="R81" i="10"/>
  <c r="V81" i="10" s="1"/>
  <c r="V447" i="10"/>
  <c r="V85" i="10"/>
  <c r="V216" i="10"/>
  <c r="V121" i="10"/>
  <c r="V26" i="10"/>
  <c r="V109" i="10"/>
  <c r="V107" i="10"/>
  <c r="V374" i="10"/>
  <c r="R106" i="10"/>
  <c r="V106" i="10" s="1"/>
  <c r="V471" i="10"/>
  <c r="R71" i="10"/>
  <c r="V71" i="10" s="1"/>
  <c r="V436" i="10"/>
  <c r="V476" i="10"/>
  <c r="V179" i="10"/>
  <c r="V486" i="10"/>
  <c r="R116" i="10"/>
  <c r="V116" i="10" s="1"/>
  <c r="V481" i="10"/>
  <c r="R97" i="10"/>
  <c r="V97" i="10" s="1"/>
  <c r="V462" i="10"/>
  <c r="R93" i="10"/>
  <c r="V93" i="10" s="1"/>
  <c r="V458" i="10"/>
  <c r="R87" i="10"/>
  <c r="V87" i="10" s="1"/>
  <c r="V452" i="10"/>
  <c r="R75" i="10"/>
  <c r="V75" i="10" s="1"/>
  <c r="R66" i="10"/>
  <c r="V66" i="10" s="1"/>
  <c r="V431" i="10"/>
  <c r="R62" i="10"/>
  <c r="V62" i="10" s="1"/>
  <c r="V427" i="10"/>
  <c r="R60" i="10"/>
  <c r="V60" i="10" s="1"/>
  <c r="V425" i="10"/>
  <c r="V396" i="10"/>
  <c r="V433" i="10"/>
  <c r="V469" i="10"/>
  <c r="R119" i="10"/>
  <c r="V119" i="10" s="1"/>
  <c r="V484" i="10"/>
  <c r="V128" i="10"/>
  <c r="R110" i="10"/>
  <c r="V110" i="10" s="1"/>
  <c r="V475" i="10"/>
  <c r="V154" i="10"/>
  <c r="R118" i="10"/>
  <c r="V118" i="10" s="1"/>
  <c r="V483" i="10"/>
  <c r="V472" i="10"/>
  <c r="R73" i="10"/>
  <c r="V73" i="10" s="1"/>
  <c r="V438" i="10"/>
  <c r="R84" i="10"/>
  <c r="V84" i="10" s="1"/>
  <c r="V449" i="10"/>
  <c r="R78" i="10"/>
  <c r="V78" i="10" s="1"/>
  <c r="V443" i="10"/>
  <c r="V432" i="10"/>
  <c r="R115" i="10"/>
  <c r="V115" i="10" s="1"/>
  <c r="V480" i="10"/>
  <c r="V474" i="10"/>
  <c r="R100" i="10"/>
  <c r="V100" i="10" s="1"/>
  <c r="V465" i="10"/>
  <c r="R96" i="10"/>
  <c r="V96" i="10" s="1"/>
  <c r="V461" i="10"/>
  <c r="R74" i="10"/>
  <c r="V74" i="10" s="1"/>
  <c r="V439" i="10"/>
  <c r="R70" i="10"/>
  <c r="V70" i="10" s="1"/>
  <c r="V416" i="10"/>
  <c r="V148" i="10"/>
  <c r="V482" i="10"/>
  <c r="V101" i="10"/>
  <c r="R89" i="10"/>
  <c r="V89" i="10" s="1"/>
  <c r="V454" i="10"/>
  <c r="R114" i="10"/>
  <c r="V114" i="10" s="1"/>
  <c r="V479" i="10"/>
  <c r="R90" i="10"/>
  <c r="V90" i="10" s="1"/>
  <c r="V455" i="10"/>
  <c r="R83" i="10"/>
  <c r="V83" i="10" s="1"/>
  <c r="V448" i="10"/>
  <c r="R117" i="10"/>
  <c r="V117" i="10" s="1"/>
  <c r="S111" i="10"/>
  <c r="V111" i="10" s="1"/>
  <c r="R103" i="10"/>
  <c r="V103" i="10" s="1"/>
  <c r="V468" i="10"/>
  <c r="R99" i="10"/>
  <c r="V99" i="10" s="1"/>
  <c r="V464" i="10"/>
  <c r="V442" i="10"/>
  <c r="R64" i="10"/>
  <c r="V64" i="10" s="1"/>
  <c r="V429" i="10"/>
  <c r="V426" i="10"/>
  <c r="V478" i="10"/>
  <c r="R9" i="10"/>
  <c r="V9" i="10" s="1"/>
  <c r="V450" i="10"/>
  <c r="V444" i="10"/>
  <c r="R77" i="10"/>
  <c r="V77" i="10" s="1"/>
  <c r="R61" i="10"/>
  <c r="V61" i="10" s="1"/>
  <c r="V141" i="10"/>
  <c r="R112" i="10"/>
  <c r="V112" i="10" s="1"/>
  <c r="V477" i="10"/>
  <c r="R108" i="10"/>
  <c r="V108" i="10" s="1"/>
  <c r="V473" i="10"/>
  <c r="R105" i="10"/>
  <c r="V105" i="10" s="1"/>
  <c r="R82" i="10"/>
  <c r="V82" i="10" s="1"/>
  <c r="V180" i="10"/>
  <c r="V144" i="10"/>
  <c r="V140" i="10"/>
  <c r="V132" i="10"/>
  <c r="R120" i="10"/>
  <c r="V120" i="10" s="1"/>
  <c r="V485" i="10"/>
  <c r="V95" i="10"/>
  <c r="R91" i="10"/>
  <c r="V91" i="10" s="1"/>
  <c r="V456" i="10"/>
  <c r="S76" i="10"/>
  <c r="V76" i="10" s="1"/>
  <c r="V441" i="10"/>
  <c r="R69" i="10"/>
  <c r="V69" i="10" s="1"/>
  <c r="V434" i="10"/>
  <c r="R98" i="10"/>
  <c r="V98" i="10" s="1"/>
  <c r="V463" i="10"/>
  <c r="R94" i="10"/>
  <c r="V94" i="10" s="1"/>
  <c r="V459" i="10"/>
  <c r="R88" i="10"/>
  <c r="V88" i="10" s="1"/>
  <c r="V453" i="10"/>
  <c r="R80" i="10"/>
  <c r="V80" i="10" s="1"/>
  <c r="V445" i="10"/>
  <c r="R72" i="10"/>
  <c r="V72" i="10" s="1"/>
  <c r="V437" i="10"/>
  <c r="R63" i="10"/>
  <c r="V63" i="10" s="1"/>
  <c r="V428" i="10"/>
  <c r="V419" i="10"/>
  <c r="V19" i="10"/>
  <c r="R23" i="10"/>
  <c r="V23" i="10" s="1"/>
  <c r="V388" i="10"/>
  <c r="S58" i="10"/>
  <c r="V58" i="10" s="1"/>
  <c r="V423" i="10"/>
  <c r="R56" i="10"/>
  <c r="V56" i="10" s="1"/>
  <c r="V421" i="10"/>
  <c r="S52" i="10"/>
  <c r="V52" i="10" s="1"/>
  <c r="V417" i="10"/>
  <c r="R50" i="10"/>
  <c r="V50" i="10" s="1"/>
  <c r="V415" i="10"/>
  <c r="R45" i="10"/>
  <c r="V45" i="10" s="1"/>
  <c r="V410" i="10"/>
  <c r="R42" i="10"/>
  <c r="V42" i="10" s="1"/>
  <c r="V407" i="10"/>
  <c r="R37" i="10"/>
  <c r="V37" i="10" s="1"/>
  <c r="V402" i="10"/>
  <c r="R34" i="10"/>
  <c r="V34" i="10" s="1"/>
  <c r="V399" i="10"/>
  <c r="S31" i="10"/>
  <c r="V31" i="10" s="1"/>
  <c r="R27" i="10"/>
  <c r="V27" i="10" s="1"/>
  <c r="V392" i="10"/>
  <c r="R18" i="10"/>
  <c r="V18" i="10" s="1"/>
  <c r="V383" i="10"/>
  <c r="R10" i="10"/>
  <c r="V10" i="10" s="1"/>
  <c r="V375" i="10"/>
  <c r="V367" i="10"/>
  <c r="R20" i="10"/>
  <c r="V20" i="10" s="1"/>
  <c r="V385" i="10"/>
  <c r="R5" i="10"/>
  <c r="V5" i="10" s="1"/>
  <c r="V370" i="10"/>
  <c r="S22" i="10"/>
  <c r="V22" i="10" s="1"/>
  <c r="V387" i="10"/>
  <c r="R7" i="10"/>
  <c r="V7" i="10" s="1"/>
  <c r="V372" i="10"/>
  <c r="V11" i="10"/>
  <c r="V51" i="10"/>
  <c r="Y112" i="10"/>
  <c r="Y31" i="10"/>
  <c r="R24" i="10"/>
  <c r="V24" i="10" s="1"/>
  <c r="V389" i="10"/>
  <c r="R15" i="10"/>
  <c r="V15" i="10" s="1"/>
  <c r="V380" i="10"/>
  <c r="R59" i="10"/>
  <c r="V59" i="10" s="1"/>
  <c r="V424" i="10"/>
  <c r="S55" i="10"/>
  <c r="V55" i="10" s="1"/>
  <c r="V420" i="10"/>
  <c r="R53" i="10"/>
  <c r="V53" i="10" s="1"/>
  <c r="V418" i="10"/>
  <c r="R47" i="10"/>
  <c r="V47" i="10" s="1"/>
  <c r="V412" i="10"/>
  <c r="R44" i="10"/>
  <c r="V44" i="10" s="1"/>
  <c r="V409" i="10"/>
  <c r="R39" i="10"/>
  <c r="V39" i="10" s="1"/>
  <c r="V404" i="10"/>
  <c r="R36" i="10"/>
  <c r="V36" i="10" s="1"/>
  <c r="V401" i="10"/>
  <c r="R13" i="10"/>
  <c r="V13" i="10" s="1"/>
  <c r="V378" i="10"/>
  <c r="V391" i="10"/>
  <c r="V384" i="10"/>
  <c r="R8" i="10"/>
  <c r="V8" i="10" s="1"/>
  <c r="V373" i="10"/>
  <c r="R16" i="10"/>
  <c r="V16" i="10" s="1"/>
  <c r="V381" i="10"/>
  <c r="R12" i="10"/>
  <c r="V12" i="10" s="1"/>
  <c r="V377" i="10"/>
  <c r="Y56" i="10"/>
  <c r="R57" i="10"/>
  <c r="V57" i="10" s="1"/>
  <c r="V422" i="10"/>
  <c r="R6" i="10"/>
  <c r="V6" i="10" s="1"/>
  <c r="V371" i="10"/>
  <c r="R49" i="10"/>
  <c r="V49" i="10" s="1"/>
  <c r="V414" i="10"/>
  <c r="R46" i="10"/>
  <c r="V46" i="10" s="1"/>
  <c r="V411" i="10"/>
  <c r="R41" i="10"/>
  <c r="V41" i="10" s="1"/>
  <c r="V406" i="10"/>
  <c r="R38" i="10"/>
  <c r="V38" i="10" s="1"/>
  <c r="V403" i="10"/>
  <c r="R33" i="10"/>
  <c r="V33" i="10" s="1"/>
  <c r="V398" i="10"/>
  <c r="R32" i="10"/>
  <c r="V32" i="10" s="1"/>
  <c r="V397" i="10"/>
  <c r="R4" i="10"/>
  <c r="V4" i="10" s="1"/>
  <c r="V369" i="10"/>
  <c r="R29" i="10"/>
  <c r="V29" i="10" s="1"/>
  <c r="V394" i="10"/>
  <c r="R14" i="10"/>
  <c r="V14" i="10" s="1"/>
  <c r="V379" i="10"/>
  <c r="R21" i="10"/>
  <c r="V21" i="10" s="1"/>
  <c r="V386" i="10"/>
  <c r="V30" i="10"/>
  <c r="R2" i="10"/>
  <c r="V2" i="10" s="1"/>
  <c r="V395" i="10"/>
  <c r="R48" i="10"/>
  <c r="V48" i="10" s="1"/>
  <c r="V413" i="10"/>
  <c r="R43" i="10"/>
  <c r="V43" i="10" s="1"/>
  <c r="V408" i="10"/>
  <c r="R40" i="10"/>
  <c r="V40" i="10" s="1"/>
  <c r="V405" i="10"/>
  <c r="R35" i="10"/>
  <c r="V35" i="10" s="1"/>
  <c r="V400" i="10"/>
  <c r="R28" i="10"/>
  <c r="V28" i="10" s="1"/>
  <c r="V393" i="10"/>
  <c r="R25" i="10"/>
  <c r="V25" i="10" s="1"/>
  <c r="V390" i="10"/>
  <c r="V382" i="10"/>
  <c r="R17" i="10"/>
  <c r="V17" i="10" s="1"/>
  <c r="V376" i="10"/>
  <c r="V54" i="10"/>
  <c r="Y34" i="10"/>
  <c r="R3" i="10"/>
  <c r="V3" i="10" s="1"/>
  <c r="V368" i="10"/>
  <c r="I15" i="15"/>
  <c r="I16" i="20"/>
  <c r="I13" i="15"/>
  <c r="I14" i="20"/>
  <c r="I11" i="20"/>
  <c r="I10" i="15"/>
  <c r="V2" i="9"/>
  <c r="U15" i="9"/>
  <c r="I9" i="15"/>
  <c r="I10" i="20"/>
  <c r="I15" i="20"/>
  <c r="I14" i="15"/>
  <c r="I9" i="20"/>
  <c r="I8" i="15"/>
  <c r="K11" i="13" l="1"/>
  <c r="K3" i="13"/>
  <c r="E8" i="15" s="1"/>
  <c r="I16" i="15"/>
  <c r="I11" i="15"/>
  <c r="I18" i="15"/>
  <c r="I12" i="15"/>
  <c r="I18" i="20"/>
  <c r="K8" i="13"/>
  <c r="F13" i="15" s="1"/>
  <c r="N15" i="24"/>
  <c r="J12" i="13"/>
  <c r="K12" i="13"/>
  <c r="K4" i="13"/>
  <c r="E10" i="20" s="1"/>
  <c r="J7" i="13"/>
  <c r="K7" i="13"/>
  <c r="AA286" i="10"/>
  <c r="F9" i="20"/>
  <c r="AA91" i="10"/>
  <c r="AA330" i="10"/>
  <c r="J9" i="13"/>
  <c r="K9" i="13"/>
  <c r="J5" i="13"/>
  <c r="K5" i="13"/>
  <c r="J10" i="13"/>
  <c r="K10" i="13"/>
  <c r="J6" i="13"/>
  <c r="K6" i="13"/>
  <c r="J13" i="13"/>
  <c r="K13" i="13"/>
  <c r="J2" i="13"/>
  <c r="AA85" i="10"/>
  <c r="AA376" i="10"/>
  <c r="AA186" i="10"/>
  <c r="AA201" i="10"/>
  <c r="AA247" i="10"/>
  <c r="AA11" i="10"/>
  <c r="AA216" i="10"/>
  <c r="AA238" i="10"/>
  <c r="AA15" i="10"/>
  <c r="AA22" i="10"/>
  <c r="AA2" i="10"/>
  <c r="AA43" i="10"/>
  <c r="AA171" i="10"/>
  <c r="AA214" i="10"/>
  <c r="AA365" i="10"/>
  <c r="AA14" i="10"/>
  <c r="AA24" i="10"/>
  <c r="AA228" i="10"/>
  <c r="AA389" i="10"/>
  <c r="AA137" i="10"/>
  <c r="AA163" i="10"/>
  <c r="AA3" i="10"/>
  <c r="AA19" i="10"/>
  <c r="AA12" i="10"/>
  <c r="AA105" i="10"/>
  <c r="AA159" i="10"/>
  <c r="AA125" i="10"/>
  <c r="AA291" i="10"/>
  <c r="AA141" i="10"/>
  <c r="AA331" i="10"/>
  <c r="AA158" i="10"/>
  <c r="AA215" i="10"/>
  <c r="AA126" i="10"/>
  <c r="AA207" i="10"/>
  <c r="AA278" i="10"/>
  <c r="AA371" i="10"/>
  <c r="AA343" i="10"/>
  <c r="AA127" i="10"/>
  <c r="AA147" i="10"/>
  <c r="AA155" i="10"/>
  <c r="AA209" i="10"/>
  <c r="AA262" i="10"/>
  <c r="AA225" i="10"/>
  <c r="AA179" i="10"/>
  <c r="AA99" i="10"/>
  <c r="AA194" i="10"/>
  <c r="AA370" i="10"/>
  <c r="AA138" i="10"/>
  <c r="AA184" i="10"/>
  <c r="AA340" i="10"/>
  <c r="AA123" i="10"/>
  <c r="AA20" i="10"/>
  <c r="AA118" i="10"/>
  <c r="AA270" i="10"/>
  <c r="AA226" i="10"/>
  <c r="AA53" i="10"/>
  <c r="AA364" i="10"/>
  <c r="AA313" i="10"/>
  <c r="AA257" i="10"/>
  <c r="AA289" i="10"/>
  <c r="AA187" i="10"/>
  <c r="AA198" i="10"/>
  <c r="AA197" i="10"/>
  <c r="AA293" i="10"/>
  <c r="AA6" i="10"/>
  <c r="AA432" i="10"/>
  <c r="AA381" i="10"/>
  <c r="AA199" i="10"/>
  <c r="AA387" i="10"/>
  <c r="AA136" i="10"/>
  <c r="AA134" i="10"/>
  <c r="AA347" i="10"/>
  <c r="AA101" i="10"/>
  <c r="AA17" i="10"/>
  <c r="AA205" i="10"/>
  <c r="AA303" i="10"/>
  <c r="AA355" i="10"/>
  <c r="AA7" i="10"/>
  <c r="AA453" i="10"/>
  <c r="AA367" i="10"/>
  <c r="AA375" i="10"/>
  <c r="AA382" i="10"/>
  <c r="AA102" i="10"/>
  <c r="AA390" i="10"/>
  <c r="AA434" i="10"/>
  <c r="AA229" i="10"/>
  <c r="AA280" i="10"/>
  <c r="AA332" i="10"/>
  <c r="AA288" i="10"/>
  <c r="AA269" i="10"/>
  <c r="AA115" i="10"/>
  <c r="AA283" i="10"/>
  <c r="AA51" i="10"/>
  <c r="AA203" i="10"/>
  <c r="AA74" i="10"/>
  <c r="AA295" i="10"/>
  <c r="AA281" i="10"/>
  <c r="AA306" i="10"/>
  <c r="AA95" i="10"/>
  <c r="AA212" i="10"/>
  <c r="AA346" i="10"/>
  <c r="AA242" i="10"/>
  <c r="AA341" i="10"/>
  <c r="AA16" i="10"/>
  <c r="AA421" i="10"/>
  <c r="AA380" i="10"/>
  <c r="AA479" i="10"/>
  <c r="AA170" i="10"/>
  <c r="AA146" i="10"/>
  <c r="AA240" i="10"/>
  <c r="AA467" i="10"/>
  <c r="AA160" i="10"/>
  <c r="AA154" i="10"/>
  <c r="AA153" i="10"/>
  <c r="AA152" i="10"/>
  <c r="AA139" i="10"/>
  <c r="AA357" i="10"/>
  <c r="AA231" i="10"/>
  <c r="AA221" i="10"/>
  <c r="AA323" i="10"/>
  <c r="AA143" i="10"/>
  <c r="AA301" i="10"/>
  <c r="AA328" i="10"/>
  <c r="AA360" i="10"/>
  <c r="AA260" i="10"/>
  <c r="AA337" i="10"/>
  <c r="AA271" i="10"/>
  <c r="AA10" i="10"/>
  <c r="AA409" i="10"/>
  <c r="AA372" i="10"/>
  <c r="AA165" i="10"/>
  <c r="AA258" i="10"/>
  <c r="AA285" i="10"/>
  <c r="AA69" i="10"/>
  <c r="AA314" i="10"/>
  <c r="AA64" i="10"/>
  <c r="AA42" i="10"/>
  <c r="AA66" i="10"/>
  <c r="AA9" i="10"/>
  <c r="AA5" i="10"/>
  <c r="AA232" i="10"/>
  <c r="AA256" i="10"/>
  <c r="AA353" i="10"/>
  <c r="AA172" i="10"/>
  <c r="AA210" i="10"/>
  <c r="AA284" i="10"/>
  <c r="AA111" i="10"/>
  <c r="AA244" i="10"/>
  <c r="AA444" i="10"/>
  <c r="AA75" i="10"/>
  <c r="AA40" i="10"/>
  <c r="AA65" i="10"/>
  <c r="AA110" i="10"/>
  <c r="AA31" i="10"/>
  <c r="AA406" i="10"/>
  <c r="AA477" i="10"/>
  <c r="AA424" i="10"/>
  <c r="AA486" i="10"/>
  <c r="AA191" i="10"/>
  <c r="AA145" i="10"/>
  <c r="AA142" i="10"/>
  <c r="AA174" i="10"/>
  <c r="AA175" i="10"/>
  <c r="AA156" i="10"/>
  <c r="AA193" i="10"/>
  <c r="AA325" i="10"/>
  <c r="AA169" i="10"/>
  <c r="AA82" i="10"/>
  <c r="AA122" i="10"/>
  <c r="AA327" i="10"/>
  <c r="AA277" i="10"/>
  <c r="AA287" i="10"/>
  <c r="AA135" i="10"/>
  <c r="AA188" i="10"/>
  <c r="AA259" i="10"/>
  <c r="AA276" i="10"/>
  <c r="AA181" i="10"/>
  <c r="AA279" i="10"/>
  <c r="AA79" i="10"/>
  <c r="AA274" i="10"/>
  <c r="AA55" i="10"/>
  <c r="AA322" i="10"/>
  <c r="AA267" i="10"/>
  <c r="AA189" i="10"/>
  <c r="AA299" i="10"/>
  <c r="AA92" i="10"/>
  <c r="AA68" i="10"/>
  <c r="AA148" i="10"/>
  <c r="AA41" i="10"/>
  <c r="AA32" i="10"/>
  <c r="AA183" i="10"/>
  <c r="AA130" i="10"/>
  <c r="AA202" i="10"/>
  <c r="AA245" i="10"/>
  <c r="AA230" i="10"/>
  <c r="AA345" i="10"/>
  <c r="AA59" i="10"/>
  <c r="AA180" i="10"/>
  <c r="AA144" i="10"/>
  <c r="AA447" i="10"/>
  <c r="AA73" i="10"/>
  <c r="AA403" i="10"/>
  <c r="AA72" i="10"/>
  <c r="AA8" i="10"/>
  <c r="AA428" i="10"/>
  <c r="AA392" i="10"/>
  <c r="AA437" i="10"/>
  <c r="AA458" i="10"/>
  <c r="AA414" i="10"/>
  <c r="AA397" i="10"/>
  <c r="AA70" i="10"/>
  <c r="AA335" i="10"/>
  <c r="AA67" i="10"/>
  <c r="AA316" i="10"/>
  <c r="AA261" i="10"/>
  <c r="AA227" i="10"/>
  <c r="AA349" i="10"/>
  <c r="AA108" i="10"/>
  <c r="AA220" i="10"/>
  <c r="AA37" i="10"/>
  <c r="AA84" i="10"/>
  <c r="AA272" i="10"/>
  <c r="AA310" i="10"/>
  <c r="AA336" i="10"/>
  <c r="AA192" i="10"/>
  <c r="AA208" i="10"/>
  <c r="AA150" i="10"/>
  <c r="AA379" i="10"/>
  <c r="AA50" i="10"/>
  <c r="AA483" i="10"/>
  <c r="AA394" i="10"/>
  <c r="AA23" i="10"/>
  <c r="AA46" i="10"/>
  <c r="AA58" i="10"/>
  <c r="AA473" i="10"/>
  <c r="AA94" i="10"/>
  <c r="AA109" i="10"/>
  <c r="AA454" i="10"/>
  <c r="AA369" i="10"/>
  <c r="AA294" i="10"/>
  <c r="AA124" i="10"/>
  <c r="AA478" i="10"/>
  <c r="AA13" i="10"/>
  <c r="AA52" i="10"/>
  <c r="AA182" i="10"/>
  <c r="AA282" i="10"/>
  <c r="AA162" i="10"/>
  <c r="AA157" i="10"/>
  <c r="AA308" i="10"/>
  <c r="AA89" i="10"/>
  <c r="AA255" i="10"/>
  <c r="AA18" i="10"/>
  <c r="AA4" i="10"/>
  <c r="AA408" i="10"/>
  <c r="AA431" i="10"/>
  <c r="AA57" i="10"/>
  <c r="AA386" i="10"/>
  <c r="AA47" i="10"/>
  <c r="AA106" i="10"/>
  <c r="AA472" i="10"/>
  <c r="AA393" i="10"/>
  <c r="AA401" i="10"/>
  <c r="AA417" i="10"/>
  <c r="AA93" i="10"/>
  <c r="AA419" i="10"/>
  <c r="AA443" i="10"/>
  <c r="AA468" i="10"/>
  <c r="AA474" i="10"/>
  <c r="AA445" i="10"/>
  <c r="AA383" i="10"/>
  <c r="AA378" i="10"/>
  <c r="AA418" i="10"/>
  <c r="AA415" i="10"/>
  <c r="AA103" i="10"/>
  <c r="AA104" i="10"/>
  <c r="AA450" i="10"/>
  <c r="AA384" i="10"/>
  <c r="Y113" i="10"/>
  <c r="AA113" i="10" s="1"/>
  <c r="AA457" i="10"/>
  <c r="AA38" i="10"/>
  <c r="AA56" i="10"/>
  <c r="AA116" i="10"/>
  <c r="AA470" i="10"/>
  <c r="AA422" i="10"/>
  <c r="AA407" i="10"/>
  <c r="AA439" i="10"/>
  <c r="AA460" i="10"/>
  <c r="AA373" i="10"/>
  <c r="AA449" i="10"/>
  <c r="AA446" i="10"/>
  <c r="AA451" i="10"/>
  <c r="AA412" i="10"/>
  <c r="AA374" i="10"/>
  <c r="AA254" i="10"/>
  <c r="AA318" i="10"/>
  <c r="AA309" i="10"/>
  <c r="AA326" i="10"/>
  <c r="AA98" i="10"/>
  <c r="AA166" i="10"/>
  <c r="AA200" i="10"/>
  <c r="AA300" i="10"/>
  <c r="AA275" i="10"/>
  <c r="AA251" i="10"/>
  <c r="AA211" i="10"/>
  <c r="AA173" i="10"/>
  <c r="AA311" i="10"/>
  <c r="AA329" i="10"/>
  <c r="AA366" i="10"/>
  <c r="AA190" i="10"/>
  <c r="AA161" i="10"/>
  <c r="AA164" i="10"/>
  <c r="AA87" i="10"/>
  <c r="AA359" i="10"/>
  <c r="AA342" i="10"/>
  <c r="AA248" i="10"/>
  <c r="AA358" i="10"/>
  <c r="AA307" i="10"/>
  <c r="AA241" i="10"/>
  <c r="AA344" i="10"/>
  <c r="AA266" i="10"/>
  <c r="AA224" i="10"/>
  <c r="AA235" i="10"/>
  <c r="AA253" i="10"/>
  <c r="AA361" i="10"/>
  <c r="AA168" i="10"/>
  <c r="AA86" i="10"/>
  <c r="AA204" i="10"/>
  <c r="AA334" i="10"/>
  <c r="AA324" i="10"/>
  <c r="AA265" i="10"/>
  <c r="AA252" i="10"/>
  <c r="AA222" i="10"/>
  <c r="AA385" i="10"/>
  <c r="AA368" i="10"/>
  <c r="AA399" i="10"/>
  <c r="AA63" i="10"/>
  <c r="AA21" i="10"/>
  <c r="AA78" i="10"/>
  <c r="AA480" i="10"/>
  <c r="AA461" i="10"/>
  <c r="AA471" i="10"/>
  <c r="AA395" i="10"/>
  <c r="AA388" i="10"/>
  <c r="AA83" i="10"/>
  <c r="AA81" i="10"/>
  <c r="AA448" i="10"/>
  <c r="AA475" i="10"/>
  <c r="AA396" i="10"/>
  <c r="AA80" i="10"/>
  <c r="AA423" i="10"/>
  <c r="AA459" i="10"/>
  <c r="AA398" i="10"/>
  <c r="AA466" i="10"/>
  <c r="AA476" i="10"/>
  <c r="AA377" i="10"/>
  <c r="AA49" i="10"/>
  <c r="AA243" i="10"/>
  <c r="AA246" i="10"/>
  <c r="AA302" i="10"/>
  <c r="AA250" i="10"/>
  <c r="AA348" i="10"/>
  <c r="AA76" i="10"/>
  <c r="AA131" i="10"/>
  <c r="AA167" i="10"/>
  <c r="AA185" i="10"/>
  <c r="AA339" i="10"/>
  <c r="AA315" i="10"/>
  <c r="AA239" i="10"/>
  <c r="AA196" i="10"/>
  <c r="AA133" i="10"/>
  <c r="AA268" i="10"/>
  <c r="AA305" i="10"/>
  <c r="AA320" i="10"/>
  <c r="AA338" i="10"/>
  <c r="AA356" i="10"/>
  <c r="AA178" i="10"/>
  <c r="AA177" i="10"/>
  <c r="AA140" i="10"/>
  <c r="AA149" i="10"/>
  <c r="AA176" i="10"/>
  <c r="AA128" i="10"/>
  <c r="AA45" i="10"/>
  <c r="AA321" i="10"/>
  <c r="AA351" i="10"/>
  <c r="AA297" i="10"/>
  <c r="AA354" i="10"/>
  <c r="AA290" i="10"/>
  <c r="AA223" i="10"/>
  <c r="AA195" i="10"/>
  <c r="AA213" i="10"/>
  <c r="AA362" i="10"/>
  <c r="AA317" i="10"/>
  <c r="AA237" i="10"/>
  <c r="AA217" i="10"/>
  <c r="AA236" i="10"/>
  <c r="AA319" i="10"/>
  <c r="AA333" i="10"/>
  <c r="AA233" i="10"/>
  <c r="AA350" i="10"/>
  <c r="AA129" i="10"/>
  <c r="AA121" i="10"/>
  <c r="AA132" i="10"/>
  <c r="AA312" i="10"/>
  <c r="AA264" i="10"/>
  <c r="AA234" i="10"/>
  <c r="AA77" i="10"/>
  <c r="AA304" i="10"/>
  <c r="AA292" i="10"/>
  <c r="AA206" i="10"/>
  <c r="AA97" i="10"/>
  <c r="AA151" i="10"/>
  <c r="AA296" i="10"/>
  <c r="AA298" i="10"/>
  <c r="AA249" i="10"/>
  <c r="AA218" i="10"/>
  <c r="AA33" i="10"/>
  <c r="AA34" i="10"/>
  <c r="AA442" i="10"/>
  <c r="AA100" i="10"/>
  <c r="AA436" i="10"/>
  <c r="AA29" i="10"/>
  <c r="AA61" i="10"/>
  <c r="AA96" i="10"/>
  <c r="AA48" i="10"/>
  <c r="AA411" i="10"/>
  <c r="AA485" i="10"/>
  <c r="AA25" i="10"/>
  <c r="AA435" i="10"/>
  <c r="AA438" i="10"/>
  <c r="AA440" i="10"/>
  <c r="AA404" i="10"/>
  <c r="AA400" i="10"/>
  <c r="AA363" i="10"/>
  <c r="AA263" i="10"/>
  <c r="AA219" i="10"/>
  <c r="AA273" i="10"/>
  <c r="AA352" i="10"/>
  <c r="AA469" i="10"/>
  <c r="AA416" i="10"/>
  <c r="AA405" i="10"/>
  <c r="AA481" i="10"/>
  <c r="AA433" i="10"/>
  <c r="AA112" i="10"/>
  <c r="AA26" i="10"/>
  <c r="AA464" i="10"/>
  <c r="AA35" i="10"/>
  <c r="AA60" i="10"/>
  <c r="AA430" i="10"/>
  <c r="AA402" i="10"/>
  <c r="AA71" i="10"/>
  <c r="AA90" i="10"/>
  <c r="AA426" i="10"/>
  <c r="AA27" i="10"/>
  <c r="AA456" i="10"/>
  <c r="AA452" i="10"/>
  <c r="AA28" i="10"/>
  <c r="AA39" i="10"/>
  <c r="AA44" i="10"/>
  <c r="AA54" i="10"/>
  <c r="AA391" i="10"/>
  <c r="AA427" i="10"/>
  <c r="AA425" i="10"/>
  <c r="AA410" i="10"/>
  <c r="AA119" i="10"/>
  <c r="AA465" i="10"/>
  <c r="AA463" i="10"/>
  <c r="AA88" i="10"/>
  <c r="AA484" i="10"/>
  <c r="AA30" i="10"/>
  <c r="AA413" i="10"/>
  <c r="AA62" i="10"/>
  <c r="AA107" i="10"/>
  <c r="AA117" i="10"/>
  <c r="AA429" i="10"/>
  <c r="AA120" i="10"/>
  <c r="AA36" i="10"/>
  <c r="AA114" i="10"/>
  <c r="AA420" i="10"/>
  <c r="AA482" i="10"/>
  <c r="AA441" i="10"/>
  <c r="AA455" i="10"/>
  <c r="AA462" i="10"/>
  <c r="C4" i="9"/>
  <c r="F4" i="9" s="1"/>
  <c r="C9" i="9"/>
  <c r="D15" i="18" s="1"/>
  <c r="C12" i="9"/>
  <c r="F12" i="9" s="1"/>
  <c r="D9" i="9"/>
  <c r="D13" i="9"/>
  <c r="D10" i="9"/>
  <c r="D12" i="9"/>
  <c r="D11" i="9"/>
  <c r="D8" i="9"/>
  <c r="C13" i="9"/>
  <c r="C5" i="9"/>
  <c r="C10" i="9"/>
  <c r="C3" i="9"/>
  <c r="C8" i="9"/>
  <c r="C11" i="9"/>
  <c r="C6" i="9"/>
  <c r="C2" i="9"/>
  <c r="C7" i="9"/>
  <c r="D7" i="9"/>
  <c r="D4" i="9"/>
  <c r="C4" i="24" s="1"/>
  <c r="D6" i="9"/>
  <c r="C6" i="24" s="1"/>
  <c r="D5" i="9"/>
  <c r="C5" i="24" s="1"/>
  <c r="D3" i="9"/>
  <c r="C3" i="24" s="1"/>
  <c r="D2" i="9"/>
  <c r="C2" i="24" s="1"/>
  <c r="I7" i="15"/>
  <c r="I8" i="20"/>
  <c r="V15" i="9"/>
  <c r="E9" i="20" l="1"/>
  <c r="F8" i="15"/>
  <c r="F16" i="15"/>
  <c r="E17" i="20"/>
  <c r="E16" i="15"/>
  <c r="F17" i="20"/>
  <c r="E14" i="20"/>
  <c r="F14" i="20"/>
  <c r="E13" i="15"/>
  <c r="I17" i="18"/>
  <c r="C11" i="24"/>
  <c r="H12" i="9"/>
  <c r="I12" i="9" s="1"/>
  <c r="G18" i="18" s="1"/>
  <c r="K10" i="9"/>
  <c r="J16" i="18" s="1"/>
  <c r="C10" i="24"/>
  <c r="K9" i="9"/>
  <c r="C9" i="24"/>
  <c r="I13" i="18"/>
  <c r="C7" i="24"/>
  <c r="K12" i="9"/>
  <c r="C12" i="24"/>
  <c r="I14" i="18"/>
  <c r="C8" i="24"/>
  <c r="I19" i="18"/>
  <c r="C13" i="24"/>
  <c r="H4" i="9"/>
  <c r="I4" i="9" s="1"/>
  <c r="J4" i="9" s="1"/>
  <c r="F10" i="20"/>
  <c r="F9" i="15"/>
  <c r="E9" i="15"/>
  <c r="F18" i="20"/>
  <c r="F17" i="15"/>
  <c r="E17" i="15"/>
  <c r="E18" i="20"/>
  <c r="E12" i="15"/>
  <c r="F13" i="20"/>
  <c r="E13" i="20"/>
  <c r="F12" i="15"/>
  <c r="E8" i="20"/>
  <c r="F7" i="15"/>
  <c r="E7" i="15"/>
  <c r="K15" i="13"/>
  <c r="B4" i="22" s="1"/>
  <c r="F8" i="20"/>
  <c r="J15" i="13"/>
  <c r="F10" i="15"/>
  <c r="E10" i="15"/>
  <c r="E11" i="20"/>
  <c r="F11" i="20"/>
  <c r="F19" i="20"/>
  <c r="E19" i="20"/>
  <c r="E18" i="15"/>
  <c r="F18" i="15"/>
  <c r="E15" i="15"/>
  <c r="F15" i="15"/>
  <c r="E16" i="20"/>
  <c r="F16" i="20"/>
  <c r="F15" i="20"/>
  <c r="E15" i="20"/>
  <c r="E14" i="15"/>
  <c r="F14" i="15"/>
  <c r="F12" i="20"/>
  <c r="E12" i="20"/>
  <c r="E11" i="15"/>
  <c r="F11" i="15"/>
  <c r="E7" i="9"/>
  <c r="E8" i="9"/>
  <c r="E4" i="9"/>
  <c r="E6" i="9"/>
  <c r="E11" i="9"/>
  <c r="E5" i="9"/>
  <c r="E3" i="9"/>
  <c r="E13" i="9"/>
  <c r="E9" i="9"/>
  <c r="E10" i="9"/>
  <c r="E12" i="9"/>
  <c r="K7" i="9"/>
  <c r="E2" i="9"/>
  <c r="I16" i="18"/>
  <c r="I15" i="18"/>
  <c r="D10" i="18"/>
  <c r="I18" i="18"/>
  <c r="K11" i="9"/>
  <c r="F9" i="9"/>
  <c r="D18" i="18"/>
  <c r="E10" i="18"/>
  <c r="F10" i="18" s="1"/>
  <c r="E18" i="18"/>
  <c r="F18" i="18" s="1"/>
  <c r="K13" i="9"/>
  <c r="K8" i="9"/>
  <c r="F2" i="9"/>
  <c r="D8" i="18"/>
  <c r="F3" i="9"/>
  <c r="D9" i="18"/>
  <c r="F6" i="9"/>
  <c r="D12" i="18"/>
  <c r="F10" i="9"/>
  <c r="D16" i="18"/>
  <c r="F7" i="9"/>
  <c r="D13" i="18"/>
  <c r="F11" i="9"/>
  <c r="D17" i="18"/>
  <c r="F5" i="9"/>
  <c r="D11" i="18"/>
  <c r="F8" i="9"/>
  <c r="D14" i="18"/>
  <c r="F13" i="9"/>
  <c r="D19" i="18"/>
  <c r="I12" i="18"/>
  <c r="K6" i="9"/>
  <c r="K5" i="9"/>
  <c r="I11" i="18"/>
  <c r="I10" i="18"/>
  <c r="K4" i="9"/>
  <c r="I9" i="18"/>
  <c r="K3" i="9"/>
  <c r="K2" i="9"/>
  <c r="I8" i="18"/>
  <c r="I20" i="15"/>
  <c r="I21" i="20"/>
  <c r="F27" i="22" l="1"/>
  <c r="I25" i="22"/>
  <c r="F26" i="22"/>
  <c r="I26" i="22"/>
  <c r="F25" i="22"/>
  <c r="L10" i="9"/>
  <c r="M10" i="9" s="1"/>
  <c r="L16" i="18" s="1"/>
  <c r="C15" i="24"/>
  <c r="G10" i="18"/>
  <c r="A4" i="24"/>
  <c r="B4" i="24" s="1"/>
  <c r="J13" i="18"/>
  <c r="D7" i="24"/>
  <c r="N12" i="18"/>
  <c r="G6" i="24"/>
  <c r="D12" i="24"/>
  <c r="L9" i="9"/>
  <c r="M9" i="9" s="1"/>
  <c r="D9" i="24"/>
  <c r="D3" i="24"/>
  <c r="D2" i="24"/>
  <c r="L12" i="9"/>
  <c r="M12" i="9" s="1"/>
  <c r="L18" i="18" s="1"/>
  <c r="N16" i="18"/>
  <c r="G10" i="24"/>
  <c r="O5" i="9"/>
  <c r="G5" i="24"/>
  <c r="N14" i="18"/>
  <c r="G8" i="24"/>
  <c r="E10" i="24"/>
  <c r="F10" i="24" s="1"/>
  <c r="D10" i="24"/>
  <c r="D13" i="24"/>
  <c r="H9" i="9"/>
  <c r="I9" i="9" s="1"/>
  <c r="J9" i="9" s="1"/>
  <c r="O13" i="9"/>
  <c r="G13" i="24"/>
  <c r="J12" i="9"/>
  <c r="H18" i="18" s="1"/>
  <c r="L11" i="9"/>
  <c r="M11" i="9" s="1"/>
  <c r="N11" i="9" s="1"/>
  <c r="C23" i="21" s="1"/>
  <c r="D11" i="24"/>
  <c r="J18" i="18"/>
  <c r="K18" i="18" s="1"/>
  <c r="J15" i="18"/>
  <c r="K15" i="18" s="1"/>
  <c r="N18" i="18"/>
  <c r="G12" i="24"/>
  <c r="O3" i="9"/>
  <c r="P3" i="9" s="1"/>
  <c r="Q3" i="9" s="1"/>
  <c r="G3" i="24"/>
  <c r="N10" i="18"/>
  <c r="G4" i="24"/>
  <c r="D5" i="24"/>
  <c r="D4" i="24"/>
  <c r="D6" i="24"/>
  <c r="D8" i="24"/>
  <c r="O2" i="9"/>
  <c r="G2" i="24"/>
  <c r="N15" i="18"/>
  <c r="G9" i="24"/>
  <c r="O11" i="9"/>
  <c r="O17" i="18" s="1"/>
  <c r="P17" i="18" s="1"/>
  <c r="G11" i="24"/>
  <c r="O7" i="9"/>
  <c r="O13" i="18" s="1"/>
  <c r="G7" i="24"/>
  <c r="A12" i="24"/>
  <c r="B12" i="24" s="1"/>
  <c r="K16" i="18"/>
  <c r="B32" i="21"/>
  <c r="B16" i="21"/>
  <c r="E20" i="15"/>
  <c r="L7" i="15"/>
  <c r="L8" i="15" s="1"/>
  <c r="L9" i="15" s="1"/>
  <c r="L10" i="15" s="1"/>
  <c r="L11" i="15" s="1"/>
  <c r="L12" i="15" s="1"/>
  <c r="L13" i="15" s="1"/>
  <c r="L14" i="15" s="1"/>
  <c r="L15" i="15" s="1"/>
  <c r="L16" i="15" s="1"/>
  <c r="L17" i="15" s="1"/>
  <c r="L18" i="15" s="1"/>
  <c r="F20" i="15"/>
  <c r="L8" i="20"/>
  <c r="L9" i="20" s="1"/>
  <c r="L10" i="20" s="1"/>
  <c r="L11" i="20" s="1"/>
  <c r="L12" i="20" s="1"/>
  <c r="L13" i="20" s="1"/>
  <c r="L14" i="20" s="1"/>
  <c r="L15" i="20" s="1"/>
  <c r="L16" i="20" s="1"/>
  <c r="L17" i="20" s="1"/>
  <c r="L18" i="20" s="1"/>
  <c r="L19" i="20" s="1"/>
  <c r="F21" i="20"/>
  <c r="K4" i="20" s="1"/>
  <c r="E21" i="20"/>
  <c r="H10" i="18"/>
  <c r="E15" i="18"/>
  <c r="O4" i="9"/>
  <c r="O9" i="9"/>
  <c r="N8" i="18"/>
  <c r="J17" i="18"/>
  <c r="K17" i="18" s="1"/>
  <c r="N9" i="18"/>
  <c r="O8" i="9"/>
  <c r="O6" i="9"/>
  <c r="N11" i="18"/>
  <c r="N13" i="18"/>
  <c r="N17" i="18"/>
  <c r="L7" i="9"/>
  <c r="M7" i="9" s="1"/>
  <c r="N19" i="18"/>
  <c r="O10" i="9"/>
  <c r="O12" i="9"/>
  <c r="L13" i="9"/>
  <c r="M13" i="9" s="1"/>
  <c r="J19" i="18"/>
  <c r="K19" i="18" s="1"/>
  <c r="J14" i="18"/>
  <c r="L8" i="9"/>
  <c r="M8" i="9" s="1"/>
  <c r="E14" i="18"/>
  <c r="H8" i="9"/>
  <c r="I8" i="9" s="1"/>
  <c r="H11" i="9"/>
  <c r="I11" i="9" s="1"/>
  <c r="E17" i="18"/>
  <c r="F17" i="18" s="1"/>
  <c r="E16" i="18"/>
  <c r="H10" i="9"/>
  <c r="I10" i="9" s="1"/>
  <c r="E9" i="18"/>
  <c r="F9" i="18" s="1"/>
  <c r="H3" i="9"/>
  <c r="I3" i="9" s="1"/>
  <c r="E19" i="18"/>
  <c r="F19" i="18" s="1"/>
  <c r="H13" i="9"/>
  <c r="I13" i="9" s="1"/>
  <c r="H5" i="9"/>
  <c r="I5" i="9" s="1"/>
  <c r="E11" i="18"/>
  <c r="H7" i="9"/>
  <c r="I7" i="9" s="1"/>
  <c r="E13" i="18"/>
  <c r="E12" i="18"/>
  <c r="H6" i="9"/>
  <c r="I6" i="9" s="1"/>
  <c r="H2" i="9"/>
  <c r="A2" i="24" s="1"/>
  <c r="E8" i="18"/>
  <c r="F15" i="9"/>
  <c r="L4" i="9"/>
  <c r="M4" i="9" s="1"/>
  <c r="J10" i="18"/>
  <c r="K10" i="18" s="1"/>
  <c r="J12" i="18"/>
  <c r="L6" i="9"/>
  <c r="M6" i="9" s="1"/>
  <c r="L5" i="9"/>
  <c r="M5" i="9" s="1"/>
  <c r="J11" i="18"/>
  <c r="J9" i="18"/>
  <c r="K9" i="18" s="1"/>
  <c r="L3" i="9"/>
  <c r="M3" i="9" s="1"/>
  <c r="L2" i="9"/>
  <c r="E2" i="24" s="1"/>
  <c r="J8" i="18"/>
  <c r="K15" i="9"/>
  <c r="N10" i="9" l="1"/>
  <c r="C22" i="21" s="1"/>
  <c r="F15" i="18"/>
  <c r="C39" i="21"/>
  <c r="M17" i="18"/>
  <c r="L17" i="18"/>
  <c r="N12" i="9"/>
  <c r="C24" i="21" s="1"/>
  <c r="B40" i="21"/>
  <c r="B37" i="21"/>
  <c r="A3" i="24"/>
  <c r="B3" i="24" s="1"/>
  <c r="A9" i="24"/>
  <c r="B9" i="24" s="1"/>
  <c r="A6" i="24"/>
  <c r="B6" i="24" s="1"/>
  <c r="E13" i="24"/>
  <c r="F13" i="24" s="1"/>
  <c r="E12" i="24"/>
  <c r="F12" i="24" s="1"/>
  <c r="E6" i="24"/>
  <c r="F6" i="24" s="1"/>
  <c r="E9" i="24"/>
  <c r="F9" i="24" s="1"/>
  <c r="E3" i="24"/>
  <c r="F3" i="24" s="1"/>
  <c r="A5" i="24"/>
  <c r="B5" i="24" s="1"/>
  <c r="A11" i="24"/>
  <c r="B11" i="24" s="1"/>
  <c r="B24" i="21"/>
  <c r="B21" i="21"/>
  <c r="O16" i="18"/>
  <c r="H10" i="24"/>
  <c r="P6" i="9"/>
  <c r="Q6" i="9" s="1"/>
  <c r="R6" i="9" s="1"/>
  <c r="H6" i="24"/>
  <c r="O15" i="18"/>
  <c r="H9" i="24"/>
  <c r="G15" i="24"/>
  <c r="P13" i="9"/>
  <c r="Q13" i="9" s="1"/>
  <c r="H13" i="24"/>
  <c r="H5" i="24"/>
  <c r="B2" i="24"/>
  <c r="D15" i="24"/>
  <c r="P5" i="9"/>
  <c r="Q5" i="9" s="1"/>
  <c r="R5" i="9" s="1"/>
  <c r="P4" i="9"/>
  <c r="Q4" i="9" s="1"/>
  <c r="R4" i="9" s="1"/>
  <c r="D32" i="21" s="1"/>
  <c r="H4" i="24"/>
  <c r="P11" i="9"/>
  <c r="Q11" i="9" s="1"/>
  <c r="H11" i="24"/>
  <c r="H2" i="24"/>
  <c r="F2" i="24"/>
  <c r="O8" i="18"/>
  <c r="P8" i="18" s="1"/>
  <c r="O11" i="18"/>
  <c r="P11" i="18" s="1"/>
  <c r="O14" i="18"/>
  <c r="H8" i="24"/>
  <c r="E5" i="24"/>
  <c r="F5" i="24" s="1"/>
  <c r="I3" i="24"/>
  <c r="J3" i="24" s="1"/>
  <c r="H3" i="24"/>
  <c r="A7" i="24"/>
  <c r="B7" i="24" s="1"/>
  <c r="N9" i="9"/>
  <c r="L15" i="18"/>
  <c r="A10" i="24"/>
  <c r="B10" i="24" s="1"/>
  <c r="P2" i="9"/>
  <c r="I2" i="24" s="1"/>
  <c r="O9" i="18"/>
  <c r="P9" i="18" s="1"/>
  <c r="O18" i="18"/>
  <c r="P18" i="18" s="1"/>
  <c r="H12" i="24"/>
  <c r="O19" i="18"/>
  <c r="P19" i="18" s="1"/>
  <c r="G15" i="18"/>
  <c r="H15" i="18"/>
  <c r="P7" i="9"/>
  <c r="Q7" i="9" s="1"/>
  <c r="H7" i="24"/>
  <c r="E8" i="24"/>
  <c r="F8" i="24" s="1"/>
  <c r="E4" i="24"/>
  <c r="F4" i="24" s="1"/>
  <c r="E11" i="24"/>
  <c r="F11" i="24" s="1"/>
  <c r="A13" i="24"/>
  <c r="B13" i="24" s="1"/>
  <c r="E7" i="24"/>
  <c r="F7" i="24" s="1"/>
  <c r="A8" i="24"/>
  <c r="B8" i="24" s="1"/>
  <c r="K11" i="18"/>
  <c r="F16" i="18"/>
  <c r="K12" i="18"/>
  <c r="F12" i="18"/>
  <c r="K14" i="18"/>
  <c r="K13" i="18"/>
  <c r="M16" i="18"/>
  <c r="C38" i="21"/>
  <c r="F13" i="18"/>
  <c r="F14" i="18"/>
  <c r="F11" i="18"/>
  <c r="P9" i="9"/>
  <c r="Q9" i="9" s="1"/>
  <c r="R9" i="9" s="1"/>
  <c r="P8" i="9"/>
  <c r="Q8" i="9" s="1"/>
  <c r="R8" i="9" s="1"/>
  <c r="O10" i="18"/>
  <c r="P10" i="18" s="1"/>
  <c r="O12" i="18"/>
  <c r="P12" i="18" s="1"/>
  <c r="O15" i="9"/>
  <c r="P10" i="9"/>
  <c r="Q10" i="9" s="1"/>
  <c r="Q16" i="18" s="1"/>
  <c r="P12" i="9"/>
  <c r="Q12" i="9" s="1"/>
  <c r="Q18" i="18" s="1"/>
  <c r="N7" i="9"/>
  <c r="C19" i="21" s="1"/>
  <c r="L13" i="18"/>
  <c r="N13" i="9"/>
  <c r="C25" i="21" s="1"/>
  <c r="L19" i="18"/>
  <c r="L14" i="18"/>
  <c r="N8" i="9"/>
  <c r="C20" i="21" s="1"/>
  <c r="G14" i="18"/>
  <c r="J8" i="9"/>
  <c r="J11" i="9"/>
  <c r="G17" i="18"/>
  <c r="H15" i="9"/>
  <c r="J7" i="9"/>
  <c r="G13" i="18"/>
  <c r="J6" i="9"/>
  <c r="G12" i="18"/>
  <c r="G9" i="18"/>
  <c r="J3" i="9"/>
  <c r="J5" i="9"/>
  <c r="G11" i="18"/>
  <c r="E21" i="18"/>
  <c r="F8" i="18"/>
  <c r="J13" i="9"/>
  <c r="G19" i="18"/>
  <c r="J10" i="9"/>
  <c r="G16" i="18"/>
  <c r="I2" i="9"/>
  <c r="N6" i="9"/>
  <c r="C18" i="21" s="1"/>
  <c r="L12" i="18"/>
  <c r="L11" i="18"/>
  <c r="N5" i="9"/>
  <c r="C17" i="21" s="1"/>
  <c r="N4" i="9"/>
  <c r="L10" i="18"/>
  <c r="R3" i="9"/>
  <c r="Q9" i="18"/>
  <c r="N3" i="9"/>
  <c r="C15" i="21" s="1"/>
  <c r="L9" i="18"/>
  <c r="L15" i="9"/>
  <c r="M2" i="9"/>
  <c r="J21" i="18"/>
  <c r="K8" i="18"/>
  <c r="Q11" i="18" l="1"/>
  <c r="P13" i="18"/>
  <c r="Q2" i="9"/>
  <c r="Q15" i="9" s="1"/>
  <c r="K9" i="24"/>
  <c r="R10" i="18"/>
  <c r="K8" i="24"/>
  <c r="C40" i="21"/>
  <c r="M18" i="18"/>
  <c r="C16" i="21"/>
  <c r="K4" i="24"/>
  <c r="K5" i="24"/>
  <c r="K6" i="24"/>
  <c r="K3" i="24"/>
  <c r="I11" i="24"/>
  <c r="J11" i="24" s="1"/>
  <c r="I7" i="24"/>
  <c r="J7" i="24" s="1"/>
  <c r="I13" i="24"/>
  <c r="J13" i="24" s="1"/>
  <c r="F15" i="24"/>
  <c r="J2" i="24"/>
  <c r="I9" i="24"/>
  <c r="J9" i="24" s="1"/>
  <c r="Q10" i="18"/>
  <c r="R11" i="9"/>
  <c r="K11" i="24" s="1"/>
  <c r="Q17" i="18"/>
  <c r="Q19" i="18"/>
  <c r="R13" i="9"/>
  <c r="K13" i="24" s="1"/>
  <c r="Q12" i="18"/>
  <c r="D16" i="21"/>
  <c r="R7" i="9"/>
  <c r="K7" i="24" s="1"/>
  <c r="Q13" i="18"/>
  <c r="I12" i="24"/>
  <c r="J12" i="24" s="1"/>
  <c r="I8" i="24"/>
  <c r="J8" i="24" s="1"/>
  <c r="I4" i="24"/>
  <c r="J4" i="24" s="1"/>
  <c r="I5" i="24"/>
  <c r="J5" i="24" s="1"/>
  <c r="I10" i="24"/>
  <c r="J10" i="24" s="1"/>
  <c r="B15" i="24"/>
  <c r="C21" i="21"/>
  <c r="M15" i="18"/>
  <c r="C37" i="21"/>
  <c r="H15" i="24"/>
  <c r="E15" i="24"/>
  <c r="A15" i="24"/>
  <c r="I6" i="24"/>
  <c r="J6" i="24" s="1"/>
  <c r="K21" i="18"/>
  <c r="F21" i="18"/>
  <c r="B31" i="21"/>
  <c r="B15" i="21"/>
  <c r="B39" i="21"/>
  <c r="B23" i="21"/>
  <c r="B36" i="21"/>
  <c r="B20" i="21"/>
  <c r="B35" i="21"/>
  <c r="B19" i="21"/>
  <c r="B38" i="21"/>
  <c r="B22" i="21"/>
  <c r="B25" i="21"/>
  <c r="B41" i="21"/>
  <c r="B33" i="21"/>
  <c r="B17" i="21"/>
  <c r="B34" i="21"/>
  <c r="B18" i="21"/>
  <c r="P14" i="18"/>
  <c r="P15" i="18"/>
  <c r="P16" i="18"/>
  <c r="R11" i="18"/>
  <c r="D17" i="21"/>
  <c r="D33" i="21"/>
  <c r="R9" i="18"/>
  <c r="D15" i="21"/>
  <c r="D31" i="21"/>
  <c r="R12" i="18"/>
  <c r="D18" i="21"/>
  <c r="D34" i="21"/>
  <c r="R14" i="18"/>
  <c r="D36" i="21"/>
  <c r="D20" i="21"/>
  <c r="R15" i="18"/>
  <c r="D21" i="21"/>
  <c r="D37" i="21"/>
  <c r="E37" i="21" s="1"/>
  <c r="S9" i="9"/>
  <c r="L9" i="24" s="1"/>
  <c r="M13" i="18"/>
  <c r="C35" i="21"/>
  <c r="M9" i="18"/>
  <c r="C31" i="21"/>
  <c r="M10" i="18"/>
  <c r="C32" i="21"/>
  <c r="E32" i="21" s="1"/>
  <c r="S4" i="9"/>
  <c r="L4" i="24" s="1"/>
  <c r="M12" i="18"/>
  <c r="C34" i="21"/>
  <c r="M19" i="18"/>
  <c r="C41" i="21"/>
  <c r="M11" i="18"/>
  <c r="C33" i="21"/>
  <c r="M14" i="18"/>
  <c r="C36" i="21"/>
  <c r="H19" i="18"/>
  <c r="H12" i="18"/>
  <c r="S6" i="9"/>
  <c r="L6" i="24" s="1"/>
  <c r="H9" i="18"/>
  <c r="S3" i="9"/>
  <c r="L3" i="24" s="1"/>
  <c r="H17" i="18"/>
  <c r="S11" i="9"/>
  <c r="L11" i="24" s="1"/>
  <c r="H16" i="18"/>
  <c r="H13" i="18"/>
  <c r="S7" i="9"/>
  <c r="L7" i="24" s="1"/>
  <c r="H14" i="18"/>
  <c r="S8" i="9"/>
  <c r="L8" i="24" s="1"/>
  <c r="H11" i="18"/>
  <c r="S5" i="9"/>
  <c r="L5" i="24" s="1"/>
  <c r="Q15" i="18"/>
  <c r="R10" i="9"/>
  <c r="S10" i="9" s="1"/>
  <c r="L10" i="24" s="1"/>
  <c r="Q14" i="18"/>
  <c r="O21" i="18"/>
  <c r="P15" i="9"/>
  <c r="R12" i="9"/>
  <c r="K12" i="24" s="1"/>
  <c r="J2" i="9"/>
  <c r="G8" i="18"/>
  <c r="G21" i="18" s="1"/>
  <c r="I15" i="9"/>
  <c r="N2" i="9"/>
  <c r="L8" i="18"/>
  <c r="L21" i="18" s="1"/>
  <c r="M15" i="9"/>
  <c r="Q8" i="18" l="1"/>
  <c r="Q21" i="18" s="1"/>
  <c r="R2" i="9"/>
  <c r="D30" i="21" s="1"/>
  <c r="S13" i="9"/>
  <c r="L13" i="24" s="1"/>
  <c r="E16" i="21"/>
  <c r="K10" i="24"/>
  <c r="B30" i="21"/>
  <c r="K2" i="24"/>
  <c r="D41" i="21"/>
  <c r="E41" i="21" s="1"/>
  <c r="R19" i="18"/>
  <c r="D25" i="21"/>
  <c r="E25" i="21" s="1"/>
  <c r="I15" i="24"/>
  <c r="R13" i="18"/>
  <c r="D35" i="21"/>
  <c r="E35" i="21" s="1"/>
  <c r="D19" i="21"/>
  <c r="E19" i="21" s="1"/>
  <c r="C14" i="21"/>
  <c r="C26" i="21" s="1"/>
  <c r="C30" i="21"/>
  <c r="C42" i="21" s="1"/>
  <c r="B48" i="21" s="1"/>
  <c r="E21" i="21"/>
  <c r="D23" i="21"/>
  <c r="E23" i="21" s="1"/>
  <c r="R17" i="18"/>
  <c r="D39" i="21"/>
  <c r="E39" i="21" s="1"/>
  <c r="J15" i="24"/>
  <c r="P21" i="18"/>
  <c r="E33" i="21"/>
  <c r="E36" i="21"/>
  <c r="E18" i="21"/>
  <c r="E31" i="21"/>
  <c r="E34" i="21"/>
  <c r="E17" i="21"/>
  <c r="E20" i="21"/>
  <c r="E15" i="21"/>
  <c r="B14" i="21"/>
  <c r="G14" i="15"/>
  <c r="G15" i="20"/>
  <c r="T9" i="9"/>
  <c r="D14" i="21"/>
  <c r="R18" i="18"/>
  <c r="D40" i="21"/>
  <c r="E40" i="21" s="1"/>
  <c r="D24" i="21"/>
  <c r="E24" i="21" s="1"/>
  <c r="S12" i="9"/>
  <c r="L12" i="24" s="1"/>
  <c r="R16" i="18"/>
  <c r="D22" i="21"/>
  <c r="E22" i="21" s="1"/>
  <c r="D38" i="21"/>
  <c r="E38" i="21" s="1"/>
  <c r="S2" i="9"/>
  <c r="G9" i="15"/>
  <c r="G10" i="20"/>
  <c r="T4" i="9"/>
  <c r="G10" i="15"/>
  <c r="T5" i="9"/>
  <c r="G11" i="20"/>
  <c r="G17" i="20"/>
  <c r="G16" i="15"/>
  <c r="T11" i="9"/>
  <c r="T8" i="9"/>
  <c r="G14" i="20"/>
  <c r="G13" i="15"/>
  <c r="G16" i="20"/>
  <c r="T10" i="9"/>
  <c r="G15" i="15"/>
  <c r="T3" i="9"/>
  <c r="G9" i="20"/>
  <c r="G8" i="15"/>
  <c r="T7" i="9"/>
  <c r="G13" i="20"/>
  <c r="G12" i="15"/>
  <c r="T6" i="9"/>
  <c r="G12" i="20"/>
  <c r="G11" i="15"/>
  <c r="H8" i="18"/>
  <c r="H21" i="18" s="1"/>
  <c r="J15" i="9"/>
  <c r="M8" i="18"/>
  <c r="M21" i="18" s="1"/>
  <c r="N15" i="9"/>
  <c r="R15" i="9" l="1"/>
  <c r="B27" i="22" s="1"/>
  <c r="R8" i="18"/>
  <c r="R21" i="18" s="1"/>
  <c r="T13" i="9"/>
  <c r="H19" i="20" s="1"/>
  <c r="J19" i="20" s="1"/>
  <c r="K19" i="20" s="1"/>
  <c r="G19" i="20"/>
  <c r="G18" i="15"/>
  <c r="K15" i="24"/>
  <c r="G7" i="15"/>
  <c r="L2" i="24"/>
  <c r="L15" i="24" s="1"/>
  <c r="B21" i="22"/>
  <c r="B57" i="21"/>
  <c r="B55" i="21"/>
  <c r="B25" i="22"/>
  <c r="J25" i="22" s="1"/>
  <c r="B20" i="22"/>
  <c r="B56" i="21"/>
  <c r="B26" i="21"/>
  <c r="E14" i="21"/>
  <c r="B42" i="21"/>
  <c r="E30" i="21"/>
  <c r="B13" i="22"/>
  <c r="B19" i="22"/>
  <c r="B15" i="22"/>
  <c r="B26" i="22"/>
  <c r="J26" i="22" s="1"/>
  <c r="B14" i="22"/>
  <c r="D26" i="21"/>
  <c r="H14" i="15"/>
  <c r="J14" i="15" s="1"/>
  <c r="H15" i="20"/>
  <c r="J15" i="20" s="1"/>
  <c r="K15" i="20" s="1"/>
  <c r="G18" i="20"/>
  <c r="G17" i="15"/>
  <c r="T12" i="9"/>
  <c r="D42" i="21"/>
  <c r="G8" i="20"/>
  <c r="T2" i="9"/>
  <c r="S15" i="9"/>
  <c r="H10" i="20"/>
  <c r="J10" i="20" s="1"/>
  <c r="K10" i="20" s="1"/>
  <c r="H9" i="15"/>
  <c r="J9" i="15" s="1"/>
  <c r="H17" i="20"/>
  <c r="J17" i="20" s="1"/>
  <c r="K17" i="20" s="1"/>
  <c r="H16" i="15"/>
  <c r="J16" i="15" s="1"/>
  <c r="H11" i="20"/>
  <c r="J11" i="20" s="1"/>
  <c r="K11" i="20" s="1"/>
  <c r="H10" i="15"/>
  <c r="J10" i="15" s="1"/>
  <c r="H16" i="20"/>
  <c r="J16" i="20" s="1"/>
  <c r="K16" i="20" s="1"/>
  <c r="H15" i="15"/>
  <c r="J15" i="15" s="1"/>
  <c r="H12" i="20"/>
  <c r="J12" i="20" s="1"/>
  <c r="K12" i="20" s="1"/>
  <c r="H11" i="15"/>
  <c r="J11" i="15" s="1"/>
  <c r="H9" i="20"/>
  <c r="J9" i="20" s="1"/>
  <c r="K9" i="20" s="1"/>
  <c r="H8" i="15"/>
  <c r="J8" i="15" s="1"/>
  <c r="H12" i="15"/>
  <c r="J12" i="15" s="1"/>
  <c r="H13" i="20"/>
  <c r="J13" i="20" s="1"/>
  <c r="K13" i="20" s="1"/>
  <c r="H14" i="20"/>
  <c r="J14" i="20" s="1"/>
  <c r="K14" i="20" s="1"/>
  <c r="H13" i="15"/>
  <c r="J13" i="15" s="1"/>
  <c r="H18" i="15" l="1"/>
  <c r="J18" i="15" s="1"/>
  <c r="K18" i="15" s="1"/>
  <c r="G20" i="15"/>
  <c r="F26" i="21"/>
  <c r="E26" i="21"/>
  <c r="E42" i="21"/>
  <c r="B47" i="21"/>
  <c r="B49" i="21"/>
  <c r="B58" i="21"/>
  <c r="C57" i="21" s="1"/>
  <c r="D57" i="21" s="1"/>
  <c r="F42" i="21"/>
  <c r="C43" i="21" s="1"/>
  <c r="B16" i="22"/>
  <c r="C2" i="22" s="1"/>
  <c r="B28" i="22"/>
  <c r="T15" i="9"/>
  <c r="G21" i="20"/>
  <c r="H7" i="15"/>
  <c r="J7" i="15" s="1"/>
  <c r="H18" i="20"/>
  <c r="J18" i="20" s="1"/>
  <c r="K18" i="20" s="1"/>
  <c r="H17" i="15"/>
  <c r="J17" i="15" s="1"/>
  <c r="K14" i="15"/>
  <c r="O14" i="15"/>
  <c r="H8" i="20"/>
  <c r="J8" i="20" s="1"/>
  <c r="K9" i="15"/>
  <c r="O9" i="15"/>
  <c r="K16" i="15"/>
  <c r="O16" i="15"/>
  <c r="K12" i="15"/>
  <c r="O12" i="15"/>
  <c r="K15" i="15"/>
  <c r="O15" i="15"/>
  <c r="K13" i="15"/>
  <c r="O13" i="15"/>
  <c r="O8" i="15"/>
  <c r="K8" i="15"/>
  <c r="O10" i="15"/>
  <c r="K10" i="15"/>
  <c r="O11" i="15"/>
  <c r="K11" i="15"/>
  <c r="O18" i="15" l="1"/>
  <c r="B51" i="21"/>
  <c r="B50" i="21"/>
  <c r="F55" i="21" s="1"/>
  <c r="H55" i="21" s="1"/>
  <c r="C56" i="21"/>
  <c r="D56" i="21" s="1"/>
  <c r="C55" i="21"/>
  <c r="B43" i="21"/>
  <c r="D43" i="21"/>
  <c r="C26" i="22"/>
  <c r="D26" i="22" s="1"/>
  <c r="C27" i="22"/>
  <c r="D27" i="22" s="1"/>
  <c r="C25" i="22"/>
  <c r="H20" i="15"/>
  <c r="H21" i="20"/>
  <c r="O17" i="15"/>
  <c r="K17" i="15"/>
  <c r="K7" i="15"/>
  <c r="O7" i="15"/>
  <c r="M7" i="15"/>
  <c r="J20" i="15"/>
  <c r="C28" i="15" s="1"/>
  <c r="O8" i="20"/>
  <c r="Q8" i="20"/>
  <c r="M8" i="20"/>
  <c r="M9" i="20" s="1"/>
  <c r="M10" i="20" s="1"/>
  <c r="M11" i="20" s="1"/>
  <c r="M12" i="20" s="1"/>
  <c r="M13" i="20" s="1"/>
  <c r="M14" i="20" s="1"/>
  <c r="M15" i="20" s="1"/>
  <c r="M16" i="20" s="1"/>
  <c r="M17" i="20" s="1"/>
  <c r="M18" i="20" s="1"/>
  <c r="M19" i="20" s="1"/>
  <c r="J21" i="20"/>
  <c r="K8" i="20"/>
  <c r="K21" i="20" s="1"/>
  <c r="F57" i="21" l="1"/>
  <c r="H57" i="21" s="1"/>
  <c r="F56" i="21"/>
  <c r="H56" i="21" s="1"/>
  <c r="G57" i="21"/>
  <c r="G56" i="21"/>
  <c r="G55" i="21"/>
  <c r="D25" i="22"/>
  <c r="E26" i="22" s="1"/>
  <c r="D55" i="21"/>
  <c r="C58" i="21"/>
  <c r="N9" i="20"/>
  <c r="O9" i="20" s="1"/>
  <c r="N10" i="20" s="1"/>
  <c r="P8" i="20"/>
  <c r="C28" i="22"/>
  <c r="K20" i="15"/>
  <c r="M8" i="15"/>
  <c r="N7" i="15"/>
  <c r="E27" i="22" l="1"/>
  <c r="G58" i="21"/>
  <c r="F58" i="21"/>
  <c r="E56" i="21"/>
  <c r="E57" i="21"/>
  <c r="E55" i="21"/>
  <c r="D58" i="21"/>
  <c r="D28" i="22"/>
  <c r="E25" i="22"/>
  <c r="Q9" i="20"/>
  <c r="P9" i="20"/>
  <c r="O10" i="20"/>
  <c r="N11" i="20" s="1"/>
  <c r="Q10" i="20"/>
  <c r="M9" i="15"/>
  <c r="N8" i="15"/>
  <c r="C9" i="21" l="1"/>
  <c r="D9" i="21" s="1"/>
  <c r="C8" i="21"/>
  <c r="D8" i="21" s="1"/>
  <c r="E28" i="22"/>
  <c r="E58" i="21"/>
  <c r="P10" i="20"/>
  <c r="M10" i="15"/>
  <c r="N9" i="15"/>
  <c r="O11" i="20"/>
  <c r="N12" i="20" s="1"/>
  <c r="Q11" i="20"/>
  <c r="P11" i="20" l="1"/>
  <c r="O12" i="20"/>
  <c r="N13" i="20" s="1"/>
  <c r="Q12" i="20"/>
  <c r="M11" i="15"/>
  <c r="N10" i="15"/>
  <c r="H58" i="21" l="1"/>
  <c r="C7" i="21"/>
  <c r="P12" i="20"/>
  <c r="M12" i="15"/>
  <c r="N11" i="15"/>
  <c r="O13" i="20"/>
  <c r="N14" i="20" s="1"/>
  <c r="Q13" i="20"/>
  <c r="C10" i="21" l="1"/>
  <c r="E10" i="21" s="1"/>
  <c r="D2" i="21" s="1"/>
  <c r="D7" i="21"/>
  <c r="D10" i="21" s="1"/>
  <c r="P13" i="20"/>
  <c r="O14" i="20"/>
  <c r="N15" i="20" s="1"/>
  <c r="Q14" i="20"/>
  <c r="M13" i="15"/>
  <c r="N12" i="15"/>
  <c r="P14" i="20" l="1"/>
  <c r="M14" i="15"/>
  <c r="N13" i="15"/>
  <c r="Q15" i="20"/>
  <c r="O15" i="20"/>
  <c r="N16" i="20" s="1"/>
  <c r="P15" i="20" l="1"/>
  <c r="Q16" i="20"/>
  <c r="O16" i="20"/>
  <c r="N17" i="20" s="1"/>
  <c r="M15" i="15"/>
  <c r="N14" i="15"/>
  <c r="P16" i="20" l="1"/>
  <c r="Q17" i="20"/>
  <c r="O17" i="20"/>
  <c r="N18" i="20" s="1"/>
  <c r="M16" i="15"/>
  <c r="N15" i="15"/>
  <c r="P17" i="20" l="1"/>
  <c r="M17" i="15"/>
  <c r="N16" i="15"/>
  <c r="Q18" i="20"/>
  <c r="O18" i="20"/>
  <c r="N19" i="20" s="1"/>
  <c r="P18" i="20" l="1"/>
  <c r="M18" i="15"/>
  <c r="N18" i="15" s="1"/>
  <c r="N17" i="15"/>
  <c r="O19" i="20"/>
  <c r="P19" i="20" s="1"/>
  <c r="Q19" i="20"/>
  <c r="Q21" i="20" s="1"/>
  <c r="P21" i="20" l="1"/>
  <c r="D26" i="20" s="1"/>
  <c r="N20" i="15"/>
  <c r="F22" i="15" s="1"/>
  <c r="D26" i="23" s="1"/>
  <c r="G25" i="22"/>
  <c r="G26" i="22"/>
  <c r="F28" i="22"/>
  <c r="G27" i="22"/>
  <c r="C8" i="22" l="1"/>
  <c r="D8" i="22" s="1"/>
  <c r="C9" i="22"/>
  <c r="D9" i="22" s="1"/>
  <c r="C7" i="22"/>
  <c r="D7" i="22" s="1"/>
  <c r="D22" i="23"/>
  <c r="D24" i="23"/>
  <c r="D30" i="23"/>
  <c r="D28" i="23"/>
  <c r="D23" i="23"/>
  <c r="C15" i="23"/>
  <c r="D25" i="20"/>
  <c r="G28" i="22"/>
  <c r="J32" i="21" s="1"/>
  <c r="D10" i="22" l="1"/>
  <c r="I31" i="21"/>
  <c r="I39" i="21"/>
  <c r="I36" i="21"/>
  <c r="I37" i="21"/>
  <c r="K41" i="21"/>
  <c r="K40" i="21"/>
  <c r="K35" i="21"/>
  <c r="J41" i="21"/>
  <c r="J34" i="21"/>
  <c r="J39" i="21"/>
  <c r="I34" i="21"/>
  <c r="I30" i="21"/>
  <c r="I32" i="21"/>
  <c r="K37" i="21"/>
  <c r="K36" i="21"/>
  <c r="K31" i="21"/>
  <c r="J37" i="21"/>
  <c r="J40" i="21"/>
  <c r="J35" i="21"/>
  <c r="I41" i="21"/>
  <c r="I38" i="21"/>
  <c r="K30" i="21"/>
  <c r="K33" i="21"/>
  <c r="K32" i="21"/>
  <c r="J33" i="21"/>
  <c r="J36" i="21"/>
  <c r="J31" i="21"/>
  <c r="I35" i="21"/>
  <c r="I40" i="21"/>
  <c r="I33" i="21"/>
  <c r="K34" i="21"/>
  <c r="K38" i="21"/>
  <c r="K39" i="21"/>
  <c r="J38" i="21"/>
  <c r="J30" i="21"/>
  <c r="C10" i="22"/>
  <c r="E10" i="22" s="1"/>
  <c r="C19" i="23"/>
  <c r="C17" i="23"/>
  <c r="L38" i="21" l="1"/>
  <c r="M38" i="21" s="1"/>
  <c r="N38" i="21" s="1"/>
  <c r="L41" i="21"/>
  <c r="M41" i="21" s="1"/>
  <c r="N41" i="21" s="1"/>
  <c r="L37" i="21"/>
  <c r="M37" i="21" s="1"/>
  <c r="N37" i="21" s="1"/>
  <c r="L30" i="21"/>
  <c r="M30" i="21" s="1"/>
  <c r="N30" i="21" s="1"/>
  <c r="L40" i="21"/>
  <c r="L32" i="21"/>
  <c r="L35" i="21"/>
  <c r="L33" i="21"/>
  <c r="L34" i="21"/>
  <c r="L39" i="21"/>
  <c r="L31" i="21"/>
  <c r="L36" i="21"/>
  <c r="M36" i="21" l="1"/>
  <c r="N36" i="21" s="1"/>
  <c r="M33" i="21"/>
  <c r="N33" i="21" s="1"/>
  <c r="M35" i="21"/>
  <c r="N35" i="21" s="1"/>
  <c r="M39" i="21"/>
  <c r="N39" i="21" s="1"/>
  <c r="M32" i="21"/>
  <c r="N32" i="21" s="1"/>
  <c r="M31" i="21"/>
  <c r="N31" i="21" s="1"/>
  <c r="M34" i="21"/>
  <c r="N34" i="21" s="1"/>
  <c r="M40" i="21"/>
  <c r="N40" i="21" s="1"/>
  <c r="N42" i="21" l="1"/>
  <c r="C62" i="21" s="1"/>
  <c r="H25"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glgrabow</author>
  </authors>
  <commentList>
    <comment ref="H17" authorId="0" shapeId="0" xr:uid="{00000000-0006-0000-0900-000001000000}">
      <text>
        <r>
          <rPr>
            <b/>
            <sz val="9"/>
            <color indexed="81"/>
            <rFont val="Tahoma"/>
            <family val="2"/>
          </rPr>
          <t>glgrabow:</t>
        </r>
        <r>
          <rPr>
            <sz val="9"/>
            <color indexed="81"/>
            <rFont val="Tahoma"/>
            <family val="2"/>
          </rPr>
          <t xml:space="preserve">
Fig. 11, NRCS Ponds. Planning, design and construction.  Acres required for each acre-ft of storage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glgrabow</author>
  </authors>
  <commentList>
    <comment ref="D4" authorId="0" shapeId="0" xr:uid="{00000000-0006-0000-0A00-000001000000}">
      <text>
        <r>
          <rPr>
            <b/>
            <sz val="9"/>
            <color indexed="81"/>
            <rFont val="Tahoma"/>
            <family val="2"/>
          </rPr>
          <t>glgrabow:</t>
        </r>
        <r>
          <rPr>
            <sz val="9"/>
            <color indexed="81"/>
            <rFont val="Tahoma"/>
            <family val="2"/>
          </rPr>
          <t xml:space="preserve">
use Transou, Ashe Co.</t>
        </r>
      </text>
    </comment>
    <comment ref="D16" authorId="0" shapeId="0" xr:uid="{00000000-0006-0000-0A00-000002000000}">
      <text>
        <r>
          <rPr>
            <b/>
            <sz val="9"/>
            <color indexed="81"/>
            <rFont val="Tahoma"/>
            <family val="2"/>
          </rPr>
          <t>glgrabow:</t>
        </r>
        <r>
          <rPr>
            <sz val="9"/>
            <color indexed="81"/>
            <rFont val="Tahoma"/>
            <family val="2"/>
          </rPr>
          <t xml:space="preserve">
used Elizabeth City, Pasquotank Co.
</t>
        </r>
      </text>
    </comment>
    <comment ref="D38" authorId="0" shapeId="0" xr:uid="{00000000-0006-0000-0A00-000003000000}">
      <text>
        <r>
          <rPr>
            <b/>
            <sz val="9"/>
            <color indexed="81"/>
            <rFont val="Tahoma"/>
            <family val="2"/>
          </rPr>
          <t>glgrabow:</t>
        </r>
        <r>
          <rPr>
            <sz val="9"/>
            <color indexed="81"/>
            <rFont val="Tahoma"/>
            <family val="2"/>
          </rPr>
          <t xml:space="preserve">
Murfreesboro, Hertford Co.</t>
        </r>
      </text>
    </comment>
    <comment ref="D41" authorId="0" shapeId="0" xr:uid="{00000000-0006-0000-0A00-000004000000}">
      <text>
        <r>
          <rPr>
            <b/>
            <sz val="9"/>
            <color indexed="81"/>
            <rFont val="Tahoma"/>
            <family val="2"/>
          </rPr>
          <t>glgrabow:</t>
        </r>
        <r>
          <rPr>
            <sz val="9"/>
            <color indexed="81"/>
            <rFont val="Tahoma"/>
            <family val="2"/>
          </rPr>
          <t xml:space="preserve">
use Kinston Ag Res Sta, Lenoir Co.</t>
        </r>
      </text>
    </comment>
    <comment ref="D62" authorId="0" shapeId="0" xr:uid="{00000000-0006-0000-0A00-000005000000}">
      <text>
        <r>
          <rPr>
            <b/>
            <sz val="9"/>
            <color indexed="81"/>
            <rFont val="Tahoma"/>
            <family val="2"/>
          </rPr>
          <t>glgrabow:</t>
        </r>
        <r>
          <rPr>
            <sz val="9"/>
            <color indexed="81"/>
            <rFont val="Tahoma"/>
            <family val="2"/>
          </rPr>
          <t xml:space="preserve">
Use Cleo Yancey Co.</t>
        </r>
      </text>
    </comment>
    <comment ref="D73" authorId="0" shapeId="0" xr:uid="{00000000-0006-0000-0A00-000006000000}">
      <text>
        <r>
          <rPr>
            <b/>
            <sz val="9"/>
            <color indexed="81"/>
            <rFont val="Tahoma"/>
            <family val="2"/>
          </rPr>
          <t>glgrabow:</t>
        </r>
        <r>
          <rPr>
            <sz val="9"/>
            <color indexed="81"/>
            <rFont val="Tahoma"/>
            <family val="2"/>
          </rPr>
          <t xml:space="preserve">
Elizabeth City, Pasquotank Co.</t>
        </r>
      </text>
    </comment>
    <comment ref="D90" authorId="0" shapeId="0" xr:uid="{00000000-0006-0000-0A00-000007000000}">
      <text>
        <r>
          <rPr>
            <b/>
            <sz val="9"/>
            <color indexed="81"/>
            <rFont val="Tahoma"/>
            <family val="2"/>
          </rPr>
          <t>glgrabow:</t>
        </r>
        <r>
          <rPr>
            <sz val="9"/>
            <color indexed="81"/>
            <rFont val="Tahoma"/>
            <family val="2"/>
          </rPr>
          <t xml:space="preserve">
use manteo, dare co.</t>
        </r>
      </text>
    </comment>
    <comment ref="D92" authorId="0" shapeId="0" xr:uid="{00000000-0006-0000-0A00-000008000000}">
      <text>
        <r>
          <rPr>
            <b/>
            <sz val="9"/>
            <color indexed="81"/>
            <rFont val="Tahoma"/>
            <family val="2"/>
          </rPr>
          <t>glgrabow:</t>
        </r>
        <r>
          <rPr>
            <sz val="9"/>
            <color indexed="81"/>
            <rFont val="Tahoma"/>
            <family val="2"/>
          </rPr>
          <t xml:space="preserve">
use granville co.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glgrabow</author>
  </authors>
  <commentList>
    <comment ref="D3" authorId="0" shapeId="0" xr:uid="{00000000-0006-0000-0B00-000001000000}">
      <text>
        <r>
          <rPr>
            <b/>
            <sz val="9"/>
            <color indexed="81"/>
            <rFont val="Tahoma"/>
            <family val="2"/>
          </rPr>
          <t>glgrabow:</t>
        </r>
        <r>
          <rPr>
            <sz val="9"/>
            <color indexed="81"/>
            <rFont val="Tahoma"/>
            <family val="2"/>
          </rPr>
          <t xml:space="preserve">
use Catawba data</t>
        </r>
      </text>
    </comment>
    <comment ref="D4" authorId="0" shapeId="0" xr:uid="{00000000-0006-0000-0B00-000002000000}">
      <text>
        <r>
          <rPr>
            <b/>
            <sz val="9"/>
            <color indexed="81"/>
            <rFont val="Tahoma"/>
            <family val="2"/>
          </rPr>
          <t>glgrabow:</t>
        </r>
        <r>
          <rPr>
            <sz val="9"/>
            <color indexed="81"/>
            <rFont val="Tahoma"/>
            <family val="2"/>
          </rPr>
          <t xml:space="preserve">
transou, Ashe Co.</t>
        </r>
      </text>
    </comment>
    <comment ref="D10" authorId="0" shapeId="0" xr:uid="{00000000-0006-0000-0B00-000003000000}">
      <text>
        <r>
          <rPr>
            <b/>
            <sz val="9"/>
            <color indexed="81"/>
            <rFont val="Tahoma"/>
            <family val="2"/>
          </rPr>
          <t>glgrabow:</t>
        </r>
        <r>
          <rPr>
            <sz val="9"/>
            <color indexed="81"/>
            <rFont val="Tahoma"/>
            <family val="2"/>
          </rPr>
          <t xml:space="preserve">
use pender county
</t>
        </r>
      </text>
    </comment>
    <comment ref="I10" authorId="0" shapeId="0" xr:uid="{00000000-0006-0000-0B00-000004000000}">
      <text>
        <r>
          <rPr>
            <b/>
            <sz val="9"/>
            <color indexed="81"/>
            <rFont val="Tahoma"/>
            <family val="2"/>
          </rPr>
          <t>glgrabow:</t>
        </r>
        <r>
          <rPr>
            <sz val="9"/>
            <color indexed="81"/>
            <rFont val="Tahoma"/>
            <family val="2"/>
          </rPr>
          <t xml:space="preserve">
use Pender Co. Data</t>
        </r>
      </text>
    </comment>
    <comment ref="D16" authorId="0" shapeId="0" xr:uid="{00000000-0006-0000-0B00-000005000000}">
      <text>
        <r>
          <rPr>
            <b/>
            <sz val="9"/>
            <color indexed="81"/>
            <rFont val="Tahoma"/>
            <family val="2"/>
          </rPr>
          <t>glgrabow:</t>
        </r>
        <r>
          <rPr>
            <sz val="9"/>
            <color indexed="81"/>
            <rFont val="Tahoma"/>
            <family val="2"/>
          </rPr>
          <t xml:space="preserve">
Elizabeth City, Pasquotank
</t>
        </r>
      </text>
    </comment>
    <comment ref="D23" authorId="0" shapeId="0" xr:uid="{00000000-0006-0000-0B00-000006000000}">
      <text>
        <r>
          <rPr>
            <b/>
            <sz val="9"/>
            <color indexed="81"/>
            <rFont val="Tahoma"/>
            <family val="2"/>
          </rPr>
          <t>glgrabow:</t>
        </r>
        <r>
          <rPr>
            <sz val="9"/>
            <color indexed="81"/>
            <rFont val="Tahoma"/>
            <family val="2"/>
          </rPr>
          <t xml:space="preserve">
use cherokee
</t>
        </r>
      </text>
    </comment>
    <comment ref="D28" authorId="0" shapeId="0" xr:uid="{00000000-0006-0000-0B00-000007000000}">
      <text>
        <r>
          <rPr>
            <b/>
            <sz val="9"/>
            <color indexed="81"/>
            <rFont val="Tahoma"/>
            <family val="2"/>
          </rPr>
          <t>glgrabow:</t>
        </r>
        <r>
          <rPr>
            <sz val="9"/>
            <color indexed="81"/>
            <rFont val="Tahoma"/>
            <family val="2"/>
          </rPr>
          <t xml:space="preserve">
Elizabeth City, Pasquotank Co.</t>
        </r>
      </text>
    </comment>
    <comment ref="D32" authorId="0" shapeId="0" xr:uid="{00000000-0006-0000-0B00-000008000000}">
      <text>
        <r>
          <rPr>
            <b/>
            <sz val="9"/>
            <color indexed="81"/>
            <rFont val="Tahoma"/>
            <family val="2"/>
          </rPr>
          <t>glgrabow:</t>
        </r>
        <r>
          <rPr>
            <sz val="9"/>
            <color indexed="81"/>
            <rFont val="Tahoma"/>
            <family val="2"/>
          </rPr>
          <t xml:space="preserve">
use Pender Co.</t>
        </r>
      </text>
    </comment>
    <comment ref="D35" authorId="0" shapeId="0" xr:uid="{00000000-0006-0000-0B00-000009000000}">
      <text>
        <r>
          <rPr>
            <b/>
            <sz val="9"/>
            <color indexed="81"/>
            <rFont val="Tahoma"/>
            <family val="2"/>
          </rPr>
          <t>glgrabow:</t>
        </r>
        <r>
          <rPr>
            <sz val="9"/>
            <color indexed="81"/>
            <rFont val="Tahoma"/>
            <family val="2"/>
          </rPr>
          <t xml:space="preserve">
use guilford co.</t>
        </r>
      </text>
    </comment>
    <comment ref="D38" authorId="0" shapeId="0" xr:uid="{00000000-0006-0000-0B00-00000A000000}">
      <text>
        <r>
          <rPr>
            <b/>
            <sz val="9"/>
            <color indexed="81"/>
            <rFont val="Tahoma"/>
            <family val="2"/>
          </rPr>
          <t>glgrabow:</t>
        </r>
        <r>
          <rPr>
            <sz val="9"/>
            <color indexed="81"/>
            <rFont val="Tahoma"/>
            <family val="2"/>
          </rPr>
          <t xml:space="preserve">
Murfreesboro, Gates Co.</t>
        </r>
      </text>
    </comment>
    <comment ref="D41" authorId="0" shapeId="0" xr:uid="{00000000-0006-0000-0B00-00000B000000}">
      <text>
        <r>
          <rPr>
            <b/>
            <sz val="9"/>
            <color indexed="81"/>
            <rFont val="Tahoma"/>
            <family val="2"/>
          </rPr>
          <t>glgrabow:</t>
        </r>
        <r>
          <rPr>
            <sz val="9"/>
            <color indexed="81"/>
            <rFont val="Tahoma"/>
            <family val="2"/>
          </rPr>
          <t xml:space="preserve">
Kinston Ag Res Sta, Lenoir County</t>
        </r>
      </text>
    </comment>
    <comment ref="D49" authorId="0" shapeId="0" xr:uid="{00000000-0006-0000-0B00-00000C000000}">
      <text>
        <r>
          <rPr>
            <b/>
            <sz val="9"/>
            <color indexed="81"/>
            <rFont val="Tahoma"/>
            <family val="2"/>
          </rPr>
          <t>glgrabow:</t>
        </r>
        <r>
          <rPr>
            <sz val="9"/>
            <color indexed="81"/>
            <rFont val="Tahoma"/>
            <family val="2"/>
          </rPr>
          <t xml:space="preserve">
use dare county</t>
        </r>
      </text>
    </comment>
    <comment ref="D62" authorId="0" shapeId="0" xr:uid="{00000000-0006-0000-0B00-00000D000000}">
      <text>
        <r>
          <rPr>
            <b/>
            <sz val="9"/>
            <color indexed="81"/>
            <rFont val="Tahoma"/>
            <family val="2"/>
          </rPr>
          <t>glgrabow:</t>
        </r>
        <r>
          <rPr>
            <sz val="9"/>
            <color indexed="81"/>
            <rFont val="Tahoma"/>
            <family val="2"/>
          </rPr>
          <t xml:space="preserve">
Cleo, Yancey Co.</t>
        </r>
      </text>
    </comment>
    <comment ref="D88" authorId="0" shapeId="0" xr:uid="{00000000-0006-0000-0B00-00000E000000}">
      <text>
        <r>
          <rPr>
            <b/>
            <sz val="9"/>
            <color indexed="81"/>
            <rFont val="Tahoma"/>
            <family val="2"/>
          </rPr>
          <t>glgrabow:</t>
        </r>
        <r>
          <rPr>
            <sz val="9"/>
            <color indexed="81"/>
            <rFont val="Tahoma"/>
            <family val="2"/>
          </rPr>
          <t xml:space="preserve">
Elizabeth City, Pasquotank</t>
        </r>
      </text>
    </comment>
    <comment ref="D93" authorId="0" shapeId="0" xr:uid="{00000000-0006-0000-0B00-00000F000000}">
      <text>
        <r>
          <rPr>
            <b/>
            <sz val="9"/>
            <color indexed="81"/>
            <rFont val="Tahoma"/>
            <family val="2"/>
          </rPr>
          <t>glgrabow:</t>
        </r>
        <r>
          <rPr>
            <sz val="9"/>
            <color indexed="81"/>
            <rFont val="Tahoma"/>
            <family val="2"/>
          </rPr>
          <t xml:space="preserve">
use scotland county data
</t>
        </r>
      </text>
    </comment>
    <comment ref="D105" authorId="0" shapeId="0" xr:uid="{00000000-0006-0000-0B00-000010000000}">
      <text>
        <r>
          <rPr>
            <b/>
            <sz val="9"/>
            <color indexed="81"/>
            <rFont val="Tahoma"/>
            <family val="2"/>
          </rPr>
          <t>glgrabow:</t>
        </r>
        <r>
          <rPr>
            <sz val="9"/>
            <color indexed="81"/>
            <rFont val="Tahoma"/>
            <family val="2"/>
          </rPr>
          <t xml:space="preserve">
Manteo AP, Dare 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glgrabow</author>
  </authors>
  <commentList>
    <comment ref="B17" authorId="0" shapeId="0" xr:uid="{00000000-0006-0000-0F00-000001000000}">
      <text>
        <r>
          <rPr>
            <b/>
            <sz val="9"/>
            <color indexed="81"/>
            <rFont val="Tahoma"/>
            <family val="2"/>
          </rPr>
          <t>glgrabow:</t>
        </r>
        <r>
          <rPr>
            <sz val="9"/>
            <color indexed="81"/>
            <rFont val="Tahoma"/>
            <family val="2"/>
          </rPr>
          <t xml:space="preserve">
adapted from uga water use curve</t>
        </r>
      </text>
    </comment>
    <comment ref="B19" authorId="0" shapeId="0" xr:uid="{00000000-0006-0000-0F00-000002000000}">
      <text>
        <r>
          <rPr>
            <b/>
            <sz val="9"/>
            <color indexed="81"/>
            <rFont val="Tahoma"/>
            <family val="2"/>
          </rPr>
          <t>glgrabow:</t>
        </r>
        <r>
          <rPr>
            <sz val="9"/>
            <color indexed="81"/>
            <rFont val="Tahoma"/>
            <family val="2"/>
          </rPr>
          <t xml:space="preserve">
adjust season length to overwinter.  Rainfall should cancel an irrigation requirement over winter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Garry Grabow</author>
  </authors>
  <commentList>
    <comment ref="Y5" authorId="0" shapeId="0" xr:uid="{00000000-0006-0000-1000-000001000000}">
      <text>
        <r>
          <rPr>
            <b/>
            <sz val="10"/>
            <color indexed="81"/>
            <rFont val="Tahoma"/>
            <family val="2"/>
          </rPr>
          <t>Garry Grabow:</t>
        </r>
        <r>
          <rPr>
            <sz val="10"/>
            <color indexed="81"/>
            <rFont val="Tahoma"/>
            <family val="2"/>
          </rPr>
          <t xml:space="preserve">
as per SCS TR21 from Obreza and Pitts</t>
        </r>
      </text>
    </comment>
  </commentList>
</comments>
</file>

<file path=xl/sharedStrings.xml><?xml version="1.0" encoding="utf-8"?>
<sst xmlns="http://schemas.openxmlformats.org/spreadsheetml/2006/main" count="3507" uniqueCount="1223">
  <si>
    <t>coop.id</t>
  </si>
  <si>
    <t>sta.name</t>
  </si>
  <si>
    <t>lat.dec</t>
  </si>
  <si>
    <t>long.dec</t>
  </si>
  <si>
    <t>elev.m</t>
  </si>
  <si>
    <t>variable</t>
  </si>
  <si>
    <t>Name</t>
  </si>
  <si>
    <t>City</t>
  </si>
  <si>
    <t>State</t>
  </si>
  <si>
    <t>County</t>
  </si>
  <si>
    <t>Lat</t>
  </si>
  <si>
    <t>Long</t>
  </si>
  <si>
    <t>Type</t>
  </si>
  <si>
    <t>ALBEMARLE</t>
  </si>
  <si>
    <t>mly.prcp.normal</t>
  </si>
  <si>
    <t xml:space="preserve">Albemarle </t>
  </si>
  <si>
    <t xml:space="preserve">NC </t>
  </si>
  <si>
    <t xml:space="preserve">Stanly County </t>
  </si>
  <si>
    <t>COOP</t>
  </si>
  <si>
    <t>NA</t>
  </si>
  <si>
    <t xml:space="preserve">Wake County </t>
  </si>
  <si>
    <t>ARCOLA</t>
  </si>
  <si>
    <t xml:space="preserve">Arcola </t>
  </si>
  <si>
    <t xml:space="preserve">Warren County </t>
  </si>
  <si>
    <t>ASHEBORO 2 W</t>
  </si>
  <si>
    <t xml:space="preserve">Asheboro 2 W </t>
  </si>
  <si>
    <t xml:space="preserve">Asheboro </t>
  </si>
  <si>
    <t xml:space="preserve">Randolph County </t>
  </si>
  <si>
    <t xml:space="preserve">Buncombe County </t>
  </si>
  <si>
    <t>ASHEVILLE AP</t>
  </si>
  <si>
    <t xml:space="preserve">Carteret County </t>
  </si>
  <si>
    <t>AURORA 6 N</t>
  </si>
  <si>
    <t xml:space="preserve">Aurora 6 N </t>
  </si>
  <si>
    <t xml:space="preserve">Aurora </t>
  </si>
  <si>
    <t xml:space="preserve">Beaufort County </t>
  </si>
  <si>
    <t>BANNER ELK</t>
  </si>
  <si>
    <t xml:space="preserve">Banner Elk </t>
  </si>
  <si>
    <t xml:space="preserve">Avery County </t>
  </si>
  <si>
    <t>BAYBORO 3 SW</t>
  </si>
  <si>
    <t xml:space="preserve">Bayboro 3 Sw </t>
  </si>
  <si>
    <t xml:space="preserve">Bayboro </t>
  </si>
  <si>
    <t xml:space="preserve">Pamlico County </t>
  </si>
  <si>
    <t>BEAUFORT MICHAEL J SMITH FLD</t>
  </si>
  <si>
    <t xml:space="preserve">Watauga County </t>
  </si>
  <si>
    <t>BOONE 1 SE</t>
  </si>
  <si>
    <t xml:space="preserve">Boone 1 Se </t>
  </si>
  <si>
    <t xml:space="preserve">Boone </t>
  </si>
  <si>
    <t>BREVARD</t>
  </si>
  <si>
    <t xml:space="preserve">Brevard </t>
  </si>
  <si>
    <t xml:space="preserve">Transylvania County </t>
  </si>
  <si>
    <t>BRIDGEWATER HYDRO</t>
  </si>
  <si>
    <t xml:space="preserve">Bridgewater Hydro </t>
  </si>
  <si>
    <t xml:space="preserve">Bridgewater </t>
  </si>
  <si>
    <t xml:space="preserve">Burke County </t>
  </si>
  <si>
    <t>BURLINGTON ALAMANCE AP</t>
  </si>
  <si>
    <t xml:space="preserve">Alamance County </t>
  </si>
  <si>
    <t xml:space="preserve">Granville County </t>
  </si>
  <si>
    <t>Dare County</t>
  </si>
  <si>
    <t>CARTHAGE WTP</t>
  </si>
  <si>
    <t xml:space="preserve">Carthage Wtp </t>
  </si>
  <si>
    <t xml:space="preserve">Carthage </t>
  </si>
  <si>
    <t xml:space="preserve">Moore County </t>
  </si>
  <si>
    <t xml:space="preserve">Cleveland County </t>
  </si>
  <si>
    <t xml:space="preserve">Haywood County </t>
  </si>
  <si>
    <t xml:space="preserve"> </t>
  </si>
  <si>
    <t xml:space="preserve">Catawba </t>
  </si>
  <si>
    <t xml:space="preserve">Catawba County </t>
  </si>
  <si>
    <t>CELO 2 S</t>
  </si>
  <si>
    <t xml:space="preserve">Celo 2 S </t>
  </si>
  <si>
    <t xml:space="preserve">Celo </t>
  </si>
  <si>
    <t xml:space="preserve">Yancey County </t>
  </si>
  <si>
    <t xml:space="preserve">Orange County </t>
  </si>
  <si>
    <t>CHAPEL HILL WILLIAMS AP</t>
  </si>
  <si>
    <t>CHARLOTTE DOUGLAS AP</t>
  </si>
  <si>
    <t>Mecklenburg County</t>
  </si>
  <si>
    <t>CLAYTON WTP</t>
  </si>
  <si>
    <t xml:space="preserve">Clayton Wtp </t>
  </si>
  <si>
    <t xml:space="preserve">Clayton </t>
  </si>
  <si>
    <t xml:space="preserve">Johnston County </t>
  </si>
  <si>
    <t>CLINTON 2 NE</t>
  </si>
  <si>
    <t xml:space="preserve">Clinton 2 Ne </t>
  </si>
  <si>
    <t xml:space="preserve">Clinton </t>
  </si>
  <si>
    <t xml:space="preserve">Sampson County </t>
  </si>
  <si>
    <t>CONCORD</t>
  </si>
  <si>
    <t xml:space="preserve">Concord </t>
  </si>
  <si>
    <t xml:space="preserve">Cabarrus County </t>
  </si>
  <si>
    <t>COWEETA EXP STN</t>
  </si>
  <si>
    <t xml:space="preserve">Coweeta Exp Stn </t>
  </si>
  <si>
    <t xml:space="preserve">Coweeta </t>
  </si>
  <si>
    <t xml:space="preserve">Macon County </t>
  </si>
  <si>
    <t>CULLOWHEE</t>
  </si>
  <si>
    <t xml:space="preserve">Cullowhee </t>
  </si>
  <si>
    <t xml:space="preserve">Jackson County </t>
  </si>
  <si>
    <t>DANBURY</t>
  </si>
  <si>
    <t xml:space="preserve">Danbury </t>
  </si>
  <si>
    <t xml:space="preserve">Stokes County </t>
  </si>
  <si>
    <t>DUNN 4 NW</t>
  </si>
  <si>
    <t xml:space="preserve">Dunn 4 Nw </t>
  </si>
  <si>
    <t xml:space="preserve">Dunn </t>
  </si>
  <si>
    <t xml:space="preserve">Harnett County </t>
  </si>
  <si>
    <t xml:space="preserve">Durham </t>
  </si>
  <si>
    <t xml:space="preserve">Durham County </t>
  </si>
  <si>
    <t>DURHAM 11 W</t>
  </si>
  <si>
    <t xml:space="preserve">Bladen County </t>
  </si>
  <si>
    <t xml:space="preserve">Rockingham County </t>
  </si>
  <si>
    <t>EDENTON</t>
  </si>
  <si>
    <t xml:space="preserve">Edenton </t>
  </si>
  <si>
    <t xml:space="preserve">Chowan County </t>
  </si>
  <si>
    <t>ELIZABETH CITY</t>
  </si>
  <si>
    <t xml:space="preserve">Elizabeth City </t>
  </si>
  <si>
    <t xml:space="preserve">Pasquotank County </t>
  </si>
  <si>
    <t>ELIZABETHTOWN 3 SW</t>
  </si>
  <si>
    <t xml:space="preserve">Elizabethtown 3 Sw </t>
  </si>
  <si>
    <t xml:space="preserve">Elizabethtown </t>
  </si>
  <si>
    <t>ELKIN</t>
  </si>
  <si>
    <t xml:space="preserve">Elkin </t>
  </si>
  <si>
    <t xml:space="preserve">Surry County </t>
  </si>
  <si>
    <t xml:space="preserve">Halifax County </t>
  </si>
  <si>
    <t xml:space="preserve">Cumberland County </t>
  </si>
  <si>
    <t>FAYETTEVILLE RGNL AP</t>
  </si>
  <si>
    <t>FLETCHER 3 W</t>
  </si>
  <si>
    <t xml:space="preserve">Fletcher 3 W </t>
  </si>
  <si>
    <t xml:space="preserve">Fletcher </t>
  </si>
  <si>
    <t xml:space="preserve">Henderson County </t>
  </si>
  <si>
    <t>FOREST CITY 8 W</t>
  </si>
  <si>
    <t xml:space="preserve">Rutherford County </t>
  </si>
  <si>
    <t xml:space="preserve">Franklin </t>
  </si>
  <si>
    <t xml:space="preserve">Gaston County </t>
  </si>
  <si>
    <t>GASTONIA MUNI AP</t>
  </si>
  <si>
    <t>GOLDSBORO 4 SE</t>
  </si>
  <si>
    <t>Wayne County</t>
  </si>
  <si>
    <t xml:space="preserve">Graham </t>
  </si>
  <si>
    <t>GREENSBORO  AP</t>
  </si>
  <si>
    <t xml:space="preserve">Guilford County </t>
  </si>
  <si>
    <t>GREENVILLE</t>
  </si>
  <si>
    <t xml:space="preserve">Greenville </t>
  </si>
  <si>
    <t xml:space="preserve">Pitt County </t>
  </si>
  <si>
    <t>HAMLET</t>
  </si>
  <si>
    <t xml:space="preserve">Hamlet </t>
  </si>
  <si>
    <t xml:space="preserve">Richmond County </t>
  </si>
  <si>
    <t>HAYESVILLE 1 SW</t>
  </si>
  <si>
    <t>Clay County</t>
  </si>
  <si>
    <t xml:space="preserve">Henderson </t>
  </si>
  <si>
    <t>HICKORY FAA AP</t>
  </si>
  <si>
    <t xml:space="preserve">Onslow County </t>
  </si>
  <si>
    <t>HOT SPRINGS</t>
  </si>
  <si>
    <t xml:space="preserve">Hot Springs </t>
  </si>
  <si>
    <t xml:space="preserve">Madison County </t>
  </si>
  <si>
    <t>JACKSON</t>
  </si>
  <si>
    <t xml:space="preserve">Jackson </t>
  </si>
  <si>
    <t xml:space="preserve">Northampton County </t>
  </si>
  <si>
    <t>JACKSON SPRINGS 5 WNW</t>
  </si>
  <si>
    <t xml:space="preserve">Jackson Springs 5 Wnw </t>
  </si>
  <si>
    <t xml:space="preserve">Jackson Springs </t>
  </si>
  <si>
    <t xml:space="preserve">Montgomery County </t>
  </si>
  <si>
    <t>JACKSONVILLE EOC</t>
  </si>
  <si>
    <t>Forsyth County</t>
  </si>
  <si>
    <t xml:space="preserve">Kinston </t>
  </si>
  <si>
    <t xml:space="preserve">Lenoir County </t>
  </si>
  <si>
    <t>KINSTON AG RSCH</t>
  </si>
  <si>
    <t xml:space="preserve">Kinston Ag Rsch </t>
  </si>
  <si>
    <t xml:space="preserve">Scotland County </t>
  </si>
  <si>
    <t>LAURINBURG MAXTON AP</t>
  </si>
  <si>
    <t>LENOIR</t>
  </si>
  <si>
    <t xml:space="preserve">Lenoir </t>
  </si>
  <si>
    <t xml:space="preserve">Caldwell County </t>
  </si>
  <si>
    <t>LEWISTON</t>
  </si>
  <si>
    <t xml:space="preserve">Lewiston </t>
  </si>
  <si>
    <t xml:space="preserve">Bertie County </t>
  </si>
  <si>
    <t>LEXINGTON</t>
  </si>
  <si>
    <t xml:space="preserve">Lexington </t>
  </si>
  <si>
    <t xml:space="preserve">Davidson County </t>
  </si>
  <si>
    <t>LINCOLNTON 4 W</t>
  </si>
  <si>
    <t xml:space="preserve">Lincolnton 4 W </t>
  </si>
  <si>
    <t xml:space="preserve">Lincolnton </t>
  </si>
  <si>
    <t xml:space="preserve">Lincoln County </t>
  </si>
  <si>
    <t>LOUISBURG</t>
  </si>
  <si>
    <t xml:space="preserve">Louisburg </t>
  </si>
  <si>
    <t xml:space="preserve">Franklin County </t>
  </si>
  <si>
    <t xml:space="preserve">Robeson County </t>
  </si>
  <si>
    <t>LUMBERTON REGIONAL AP</t>
  </si>
  <si>
    <t>MANTEO AP</t>
  </si>
  <si>
    <t>MARION 2 NW</t>
  </si>
  <si>
    <t xml:space="preserve">Marion 2 Nw </t>
  </si>
  <si>
    <t xml:space="preserve">Marion </t>
  </si>
  <si>
    <t xml:space="preserve">Mcdowell County </t>
  </si>
  <si>
    <t>MOCKSVILLE 5SE</t>
  </si>
  <si>
    <t xml:space="preserve">Mocksville 5se </t>
  </si>
  <si>
    <t xml:space="preserve">Mocksville </t>
  </si>
  <si>
    <t xml:space="preserve">Davie County </t>
  </si>
  <si>
    <t xml:space="preserve">Union County </t>
  </si>
  <si>
    <t>MONROE AP</t>
  </si>
  <si>
    <t>MURFREESBORO</t>
  </si>
  <si>
    <t xml:space="preserve">Murfreesboro </t>
  </si>
  <si>
    <t xml:space="preserve">Hertford County </t>
  </si>
  <si>
    <t>MURPHY</t>
  </si>
  <si>
    <t xml:space="preserve">Murphy </t>
  </si>
  <si>
    <t xml:space="preserve">Cherokee County </t>
  </si>
  <si>
    <t>NEW BERN - ASOS</t>
  </si>
  <si>
    <t>Craven County</t>
  </si>
  <si>
    <t>NORTH WILKESBORO</t>
  </si>
  <si>
    <t xml:space="preserve">North Wilkesboro </t>
  </si>
  <si>
    <t xml:space="preserve">Wilkes County </t>
  </si>
  <si>
    <t>OCONALUFTEE</t>
  </si>
  <si>
    <t xml:space="preserve">Oconaluftee </t>
  </si>
  <si>
    <t xml:space="preserve">Swain County </t>
  </si>
  <si>
    <t>OCRACOKE</t>
  </si>
  <si>
    <t>Hyde County</t>
  </si>
  <si>
    <t>OXFORD AG</t>
  </si>
  <si>
    <t>PLYMOUTH 5 E</t>
  </si>
  <si>
    <t xml:space="preserve">Plymouth 5 E </t>
  </si>
  <si>
    <t xml:space="preserve">Plymouth </t>
  </si>
  <si>
    <t xml:space="preserve">Washington County </t>
  </si>
  <si>
    <t>RAEFORD</t>
  </si>
  <si>
    <t>Hoke County</t>
  </si>
  <si>
    <t>RALEIGH 4 SW</t>
  </si>
  <si>
    <t xml:space="preserve">Raleigh 4 Sw </t>
  </si>
  <si>
    <t xml:space="preserve">Raleigh </t>
  </si>
  <si>
    <t>REIDSVILLE 2 NW</t>
  </si>
  <si>
    <t xml:space="preserve">Reidsville 2 Nw </t>
  </si>
  <si>
    <t xml:space="preserve">Reidsville </t>
  </si>
  <si>
    <t>ROBBINSVILLE 1 S</t>
  </si>
  <si>
    <t xml:space="preserve">Graham County </t>
  </si>
  <si>
    <t xml:space="preserve">Rocky Mount </t>
  </si>
  <si>
    <t xml:space="preserve">Nash County </t>
  </si>
  <si>
    <t>ROCKY MT 8 ESE</t>
  </si>
  <si>
    <t xml:space="preserve">Rocky Mt 8 Ese </t>
  </si>
  <si>
    <t xml:space="preserve">Edgecombe County </t>
  </si>
  <si>
    <t>ROCKY MT WILSON AP</t>
  </si>
  <si>
    <t>ROXBORO 7 ESE</t>
  </si>
  <si>
    <t xml:space="preserve">Roxboro 7 Ese </t>
  </si>
  <si>
    <t xml:space="preserve">Roxboro </t>
  </si>
  <si>
    <t xml:space="preserve">Person County </t>
  </si>
  <si>
    <t xml:space="preserve">Salisbury </t>
  </si>
  <si>
    <t xml:space="preserve">Rowan County </t>
  </si>
  <si>
    <t>SALISBURY 9 WNW</t>
  </si>
  <si>
    <t xml:space="preserve">Salisbury 9 Wnw </t>
  </si>
  <si>
    <t>SANFORD 8 NE</t>
  </si>
  <si>
    <t xml:space="preserve">Sanford 8 Ne </t>
  </si>
  <si>
    <t xml:space="preserve">Sanford </t>
  </si>
  <si>
    <t xml:space="preserve">Lee County </t>
  </si>
  <si>
    <t>SCOTLAND NECK #2</t>
  </si>
  <si>
    <t>SHALLOTTE AG</t>
  </si>
  <si>
    <t>Brunswick County</t>
  </si>
  <si>
    <t>SHELBY 2 NNE</t>
  </si>
  <si>
    <t xml:space="preserve">Shelby 2 Nne </t>
  </si>
  <si>
    <t xml:space="preserve">Shelby </t>
  </si>
  <si>
    <t>SILER CITY 2 N</t>
  </si>
  <si>
    <t xml:space="preserve">Siler City 2 N </t>
  </si>
  <si>
    <t xml:space="preserve">Siler City </t>
  </si>
  <si>
    <t xml:space="preserve">Chatham County </t>
  </si>
  <si>
    <t>STATESVILLE 2 NNE</t>
  </si>
  <si>
    <t xml:space="preserve">Statesville 2 Nne </t>
  </si>
  <si>
    <t xml:space="preserve">Statesville </t>
  </si>
  <si>
    <t xml:space="preserve">Iredell County </t>
  </si>
  <si>
    <t xml:space="preserve">Pender County </t>
  </si>
  <si>
    <t>SWANQUARTER FERRY</t>
  </si>
  <si>
    <t>TAYLORSVILLE</t>
  </si>
  <si>
    <t>Alexander County</t>
  </si>
  <si>
    <t>TRANSOU</t>
  </si>
  <si>
    <t xml:space="preserve">Transou </t>
  </si>
  <si>
    <t xml:space="preserve">Laurel Springs </t>
  </si>
  <si>
    <t xml:space="preserve">Ashe County </t>
  </si>
  <si>
    <t>TRENTON</t>
  </si>
  <si>
    <t xml:space="preserve">Trenton </t>
  </si>
  <si>
    <t xml:space="preserve">Jones County </t>
  </si>
  <si>
    <t>TRYON</t>
  </si>
  <si>
    <t xml:space="preserve">Tryon </t>
  </si>
  <si>
    <t xml:space="preserve">Polk County </t>
  </si>
  <si>
    <t>WADESBORO</t>
  </si>
  <si>
    <t xml:space="preserve">Wadesboro </t>
  </si>
  <si>
    <t xml:space="preserve">Anson County </t>
  </si>
  <si>
    <t>WALLACE</t>
  </si>
  <si>
    <t>Duplin County</t>
  </si>
  <si>
    <t xml:space="preserve">Washington </t>
  </si>
  <si>
    <t>WAYNESVILLE 1 E</t>
  </si>
  <si>
    <t xml:space="preserve">Waynesville 1 E </t>
  </si>
  <si>
    <t xml:space="preserve">Waynesville </t>
  </si>
  <si>
    <t xml:space="preserve">Columbus County </t>
  </si>
  <si>
    <t>WHITEVILLE 7 NW</t>
  </si>
  <si>
    <t xml:space="preserve">Whiteville 7 Nw </t>
  </si>
  <si>
    <t xml:space="preserve">Whiteville </t>
  </si>
  <si>
    <t>WILLARD 4 SW</t>
  </si>
  <si>
    <t xml:space="preserve">Willard 4 Sw </t>
  </si>
  <si>
    <t xml:space="preserve">Willard </t>
  </si>
  <si>
    <t>WILLIAMSTON 1 E</t>
  </si>
  <si>
    <t xml:space="preserve">Williamston 1 E </t>
  </si>
  <si>
    <t xml:space="preserve">Williamston </t>
  </si>
  <si>
    <t xml:space="preserve">Martin County </t>
  </si>
  <si>
    <t xml:space="preserve">New Hanover County </t>
  </si>
  <si>
    <t>WILMINGTON INTL AP</t>
  </si>
  <si>
    <t>WILSON 3 SW</t>
  </si>
  <si>
    <t xml:space="preserve">Wilson 3 Sw </t>
  </si>
  <si>
    <t xml:space="preserve">Wilson </t>
  </si>
  <si>
    <t xml:space="preserve">Wilson County </t>
  </si>
  <si>
    <t>WINSTON SALEM RYNLDS AP</t>
  </si>
  <si>
    <t>YADKINVILLE 6 E</t>
  </si>
  <si>
    <t xml:space="preserve">Yadkinville 6 E </t>
  </si>
  <si>
    <t xml:space="preserve">Yadkinville </t>
  </si>
  <si>
    <t xml:space="preserve">Yadkin County </t>
  </si>
  <si>
    <t>YANCEYVILLE 4 SE</t>
  </si>
  <si>
    <t>Caswell County</t>
  </si>
  <si>
    <t xml:space="preserve">Stanly  </t>
  </si>
  <si>
    <t xml:space="preserve">Wake </t>
  </si>
  <si>
    <t xml:space="preserve">Warren </t>
  </si>
  <si>
    <t xml:space="preserve">Randolph </t>
  </si>
  <si>
    <t xml:space="preserve">Buncombe </t>
  </si>
  <si>
    <t xml:space="preserve">Carteret </t>
  </si>
  <si>
    <t xml:space="preserve">Beaufort </t>
  </si>
  <si>
    <t xml:space="preserve">Avery </t>
  </si>
  <si>
    <t xml:space="preserve">Pamlico </t>
  </si>
  <si>
    <t xml:space="preserve">Watauga </t>
  </si>
  <si>
    <t xml:space="preserve">Transylvania </t>
  </si>
  <si>
    <t xml:space="preserve">Burke </t>
  </si>
  <si>
    <t xml:space="preserve">Alamance </t>
  </si>
  <si>
    <t xml:space="preserve">Granville </t>
  </si>
  <si>
    <t>Dare</t>
  </si>
  <si>
    <t xml:space="preserve">Moore </t>
  </si>
  <si>
    <t xml:space="preserve">Cleveland </t>
  </si>
  <si>
    <t xml:space="preserve">Haywood </t>
  </si>
  <si>
    <t xml:space="preserve">Yancey </t>
  </si>
  <si>
    <t xml:space="preserve">Orange </t>
  </si>
  <si>
    <t>Mecklenburg</t>
  </si>
  <si>
    <t xml:space="preserve">Johnston </t>
  </si>
  <si>
    <t xml:space="preserve">Sampson </t>
  </si>
  <si>
    <t xml:space="preserve">Cabarrus </t>
  </si>
  <si>
    <t xml:space="preserve">Macon </t>
  </si>
  <si>
    <t xml:space="preserve">Stokes </t>
  </si>
  <si>
    <t xml:space="preserve">Harnett </t>
  </si>
  <si>
    <t xml:space="preserve">Bladen </t>
  </si>
  <si>
    <t xml:space="preserve">Rockingham </t>
  </si>
  <si>
    <t xml:space="preserve">Chowan </t>
  </si>
  <si>
    <t xml:space="preserve">Pasquotank </t>
  </si>
  <si>
    <t xml:space="preserve">Surry </t>
  </si>
  <si>
    <t xml:space="preserve">Halifax </t>
  </si>
  <si>
    <t xml:space="preserve">Cumberland </t>
  </si>
  <si>
    <t xml:space="preserve">Rutherford </t>
  </si>
  <si>
    <t xml:space="preserve">Gaston </t>
  </si>
  <si>
    <t>Wayne</t>
  </si>
  <si>
    <t xml:space="preserve">Guilford </t>
  </si>
  <si>
    <t xml:space="preserve">Pitt </t>
  </si>
  <si>
    <t xml:space="preserve">Richmond </t>
  </si>
  <si>
    <t>Clay</t>
  </si>
  <si>
    <t xml:space="preserve">Onslow </t>
  </si>
  <si>
    <t xml:space="preserve">Madison </t>
  </si>
  <si>
    <t xml:space="preserve">Northampton </t>
  </si>
  <si>
    <t xml:space="preserve">Montgomery </t>
  </si>
  <si>
    <t>Forsyth</t>
  </si>
  <si>
    <t xml:space="preserve">Scotland </t>
  </si>
  <si>
    <t xml:space="preserve">Caldwell </t>
  </si>
  <si>
    <t xml:space="preserve">Bertie </t>
  </si>
  <si>
    <t xml:space="preserve">Davidson </t>
  </si>
  <si>
    <t xml:space="preserve">Lincoln </t>
  </si>
  <si>
    <t xml:space="preserve">Robeson </t>
  </si>
  <si>
    <t xml:space="preserve">Mcdowell </t>
  </si>
  <si>
    <t xml:space="preserve">Davie </t>
  </si>
  <si>
    <t xml:space="preserve">Union </t>
  </si>
  <si>
    <t xml:space="preserve">Hertford </t>
  </si>
  <si>
    <t xml:space="preserve">Cherokee </t>
  </si>
  <si>
    <t>Craven</t>
  </si>
  <si>
    <t xml:space="preserve">Wilkes </t>
  </si>
  <si>
    <t xml:space="preserve">Swain </t>
  </si>
  <si>
    <t>Hyde</t>
  </si>
  <si>
    <t>Hoke</t>
  </si>
  <si>
    <t xml:space="preserve">Nash </t>
  </si>
  <si>
    <t xml:space="preserve">Edgecombe </t>
  </si>
  <si>
    <t xml:space="preserve">Person </t>
  </si>
  <si>
    <t xml:space="preserve">Rowan </t>
  </si>
  <si>
    <t xml:space="preserve">Lee </t>
  </si>
  <si>
    <t>Brunswick</t>
  </si>
  <si>
    <t xml:space="preserve">Chatham </t>
  </si>
  <si>
    <t xml:space="preserve">Iredell </t>
  </si>
  <si>
    <t xml:space="preserve">Pender </t>
  </si>
  <si>
    <t>Alexander</t>
  </si>
  <si>
    <t xml:space="preserve">Ashe </t>
  </si>
  <si>
    <t xml:space="preserve">Jones </t>
  </si>
  <si>
    <t xml:space="preserve">Polk </t>
  </si>
  <si>
    <t xml:space="preserve">Anson </t>
  </si>
  <si>
    <t>Duplin</t>
  </si>
  <si>
    <t xml:space="preserve">Columbus </t>
  </si>
  <si>
    <t xml:space="preserve">Martin </t>
  </si>
  <si>
    <t xml:space="preserve">New Hanover </t>
  </si>
  <si>
    <t xml:space="preserve">Yadkin </t>
  </si>
  <si>
    <t>Caswell</t>
  </si>
  <si>
    <t>ET Region</t>
  </si>
  <si>
    <t>Harg.Eto</t>
  </si>
  <si>
    <t>Aurora</t>
  </si>
  <si>
    <t>Goldsboro</t>
  </si>
  <si>
    <t>Whiteville</t>
  </si>
  <si>
    <t>Raleigh</t>
  </si>
  <si>
    <t>Jackson.Springs</t>
  </si>
  <si>
    <t>Reidsville</t>
  </si>
  <si>
    <t>Salisbury</t>
  </si>
  <si>
    <t>Lenoir</t>
  </si>
  <si>
    <t>Fletcher</t>
  </si>
  <si>
    <t>Lewiston</t>
  </si>
  <si>
    <t>Month</t>
  </si>
  <si>
    <t>Region</t>
  </si>
  <si>
    <t>Irrigation Only</t>
  </si>
  <si>
    <t>Irrigation and Livestock</t>
  </si>
  <si>
    <t>Livestock Only</t>
  </si>
  <si>
    <t>Input1</t>
  </si>
  <si>
    <t>Output from Input Screen</t>
  </si>
  <si>
    <t>Use Type</t>
  </si>
  <si>
    <t>Crops</t>
  </si>
  <si>
    <t>Corn (field)</t>
  </si>
  <si>
    <t>Corn (sweet)</t>
  </si>
  <si>
    <t>Cotton</t>
  </si>
  <si>
    <t>Soybean</t>
  </si>
  <si>
    <t>Small Grain (Winter)</t>
  </si>
  <si>
    <t>Small Grain (Spring)</t>
  </si>
  <si>
    <t>Sorghum</t>
  </si>
  <si>
    <t>Pasture Grasses</t>
  </si>
  <si>
    <t>Tomatoes</t>
  </si>
  <si>
    <t>Bermudagrass</t>
  </si>
  <si>
    <t>Vegetables (small)</t>
  </si>
  <si>
    <t>Planting Dates</t>
  </si>
  <si>
    <t>HSG</t>
  </si>
  <si>
    <t xml:space="preserve">Acredale </t>
  </si>
  <si>
    <t xml:space="preserve">Ailey </t>
  </si>
  <si>
    <t xml:space="preserve">B </t>
  </si>
  <si>
    <t xml:space="preserve">Alaga </t>
  </si>
  <si>
    <t xml:space="preserve">A </t>
  </si>
  <si>
    <t xml:space="preserve">Alpin </t>
  </si>
  <si>
    <t xml:space="preserve">Altavista </t>
  </si>
  <si>
    <t xml:space="preserve">C </t>
  </si>
  <si>
    <t xml:space="preserve">Appling </t>
  </si>
  <si>
    <t xml:space="preserve">Arapahoe </t>
  </si>
  <si>
    <t xml:space="preserve">Argent </t>
  </si>
  <si>
    <t xml:space="preserve">D </t>
  </si>
  <si>
    <t xml:space="preserve">Armenia </t>
  </si>
  <si>
    <t xml:space="preserve">Ashlar </t>
  </si>
  <si>
    <t xml:space="preserve">Augusta </t>
  </si>
  <si>
    <t xml:space="preserve">Autryville </t>
  </si>
  <si>
    <t xml:space="preserve">Aycock </t>
  </si>
  <si>
    <t xml:space="preserve">Ayersville </t>
  </si>
  <si>
    <t xml:space="preserve">Backbay </t>
  </si>
  <si>
    <t xml:space="preserve">Badin </t>
  </si>
  <si>
    <t xml:space="preserve">Ballahack </t>
  </si>
  <si>
    <t xml:space="preserve">Banister </t>
  </si>
  <si>
    <t xml:space="preserve">Bannertown </t>
  </si>
  <si>
    <t xml:space="preserve">Barclay </t>
  </si>
  <si>
    <t xml:space="preserve">Baymeade </t>
  </si>
  <si>
    <t xml:space="preserve">Beaches </t>
  </si>
  <si>
    <t xml:space="preserve">Belhaven </t>
  </si>
  <si>
    <t xml:space="preserve">Bethera </t>
  </si>
  <si>
    <t xml:space="preserve">Bethlehem </t>
  </si>
  <si>
    <t xml:space="preserve">Bibb </t>
  </si>
  <si>
    <t xml:space="preserve">Blaney </t>
  </si>
  <si>
    <t xml:space="preserve">Blanton </t>
  </si>
  <si>
    <t xml:space="preserve">Bohicket </t>
  </si>
  <si>
    <t xml:space="preserve">Bojac </t>
  </si>
  <si>
    <t xml:space="preserve">Bolling </t>
  </si>
  <si>
    <t xml:space="preserve">Bonneau </t>
  </si>
  <si>
    <t xml:space="preserve">Bragg </t>
  </si>
  <si>
    <t xml:space="preserve">Brickhaven </t>
  </si>
  <si>
    <t xml:space="preserve">Brookman </t>
  </si>
  <si>
    <t xml:space="preserve">Butters </t>
  </si>
  <si>
    <t xml:space="preserve">Byars </t>
  </si>
  <si>
    <t xml:space="preserve">Cainhoy </t>
  </si>
  <si>
    <t xml:space="preserve">Callison </t>
  </si>
  <si>
    <t xml:space="preserve">Candor </t>
  </si>
  <si>
    <t xml:space="preserve">Cape Fear </t>
  </si>
  <si>
    <t xml:space="preserve">Cape Lookout </t>
  </si>
  <si>
    <t xml:space="preserve">Carbonton </t>
  </si>
  <si>
    <t xml:space="preserve">Caroline </t>
  </si>
  <si>
    <t xml:space="preserve">Cecil </t>
  </si>
  <si>
    <t xml:space="preserve">Centenary </t>
  </si>
  <si>
    <t xml:space="preserve">Chapanoke </t>
  </si>
  <si>
    <t xml:space="preserve">Charleston </t>
  </si>
  <si>
    <t xml:space="preserve">Chastain </t>
  </si>
  <si>
    <t xml:space="preserve">Chenneby </t>
  </si>
  <si>
    <t xml:space="preserve">Chesapeake </t>
  </si>
  <si>
    <t xml:space="preserve">Chewacla </t>
  </si>
  <si>
    <t xml:space="preserve">Chipley </t>
  </si>
  <si>
    <t xml:space="preserve">Cid </t>
  </si>
  <si>
    <t xml:space="preserve">Claycreek </t>
  </si>
  <si>
    <t xml:space="preserve">Clifford </t>
  </si>
  <si>
    <t xml:space="preserve">Cliffside </t>
  </si>
  <si>
    <t xml:space="preserve">Codorus </t>
  </si>
  <si>
    <t xml:space="preserve">Colfax </t>
  </si>
  <si>
    <t xml:space="preserve">Conaby </t>
  </si>
  <si>
    <t xml:space="preserve">Conetoe </t>
  </si>
  <si>
    <t xml:space="preserve">Congaree </t>
  </si>
  <si>
    <t xml:space="preserve">Corolla </t>
  </si>
  <si>
    <t xml:space="preserve">Coronaca </t>
  </si>
  <si>
    <t xml:space="preserve">Cowarts </t>
  </si>
  <si>
    <t xml:space="preserve">Coxville </t>
  </si>
  <si>
    <t xml:space="preserve">Craven </t>
  </si>
  <si>
    <t xml:space="preserve">Creedmoor </t>
  </si>
  <si>
    <t xml:space="preserve">Croatan </t>
  </si>
  <si>
    <t xml:space="preserve">Cullen </t>
  </si>
  <si>
    <t xml:space="preserve">Currituck </t>
  </si>
  <si>
    <t xml:space="preserve">Dare </t>
  </si>
  <si>
    <t xml:space="preserve">Deloss </t>
  </si>
  <si>
    <t xml:space="preserve">Delway </t>
  </si>
  <si>
    <t xml:space="preserve">Devotion </t>
  </si>
  <si>
    <t xml:space="preserve">Dogue </t>
  </si>
  <si>
    <t xml:space="preserve">Dorovan </t>
  </si>
  <si>
    <t xml:space="preserve">Dothan </t>
  </si>
  <si>
    <t xml:space="preserve">Dragston </t>
  </si>
  <si>
    <t xml:space="preserve">Duckston </t>
  </si>
  <si>
    <t xml:space="preserve">Dunbar </t>
  </si>
  <si>
    <t xml:space="preserve">Dune land </t>
  </si>
  <si>
    <t xml:space="preserve">Duplin </t>
  </si>
  <si>
    <t xml:space="preserve">Echaw </t>
  </si>
  <si>
    <t xml:space="preserve">Emporia </t>
  </si>
  <si>
    <t xml:space="preserve">Engelhard </t>
  </si>
  <si>
    <t xml:space="preserve">Enon </t>
  </si>
  <si>
    <t xml:space="preserve">Exum </t>
  </si>
  <si>
    <t xml:space="preserve">Exway </t>
  </si>
  <si>
    <t xml:space="preserve">Faceville </t>
  </si>
  <si>
    <t xml:space="preserve">Fairview </t>
  </si>
  <si>
    <t xml:space="preserve">Foreston </t>
  </si>
  <si>
    <t xml:space="preserve">Fork </t>
  </si>
  <si>
    <t xml:space="preserve">Fortescue </t>
  </si>
  <si>
    <t xml:space="preserve">Fripp </t>
  </si>
  <si>
    <t xml:space="preserve">Fuquay </t>
  </si>
  <si>
    <t xml:space="preserve">Georgeville </t>
  </si>
  <si>
    <t xml:space="preserve">Gertie </t>
  </si>
  <si>
    <t xml:space="preserve">Gilead </t>
  </si>
  <si>
    <t xml:space="preserve">Goldsboro </t>
  </si>
  <si>
    <t xml:space="preserve">Goldston </t>
  </si>
  <si>
    <t xml:space="preserve">Grantham </t>
  </si>
  <si>
    <t xml:space="preserve">Green Level </t>
  </si>
  <si>
    <t xml:space="preserve">Grifton </t>
  </si>
  <si>
    <t xml:space="preserve">Gritney </t>
  </si>
  <si>
    <t xml:space="preserve">Grover </t>
  </si>
  <si>
    <t xml:space="preserve">Gullied land </t>
  </si>
  <si>
    <t xml:space="preserve">Gullrock </t>
  </si>
  <si>
    <t xml:space="preserve">Gwinnett </t>
  </si>
  <si>
    <t xml:space="preserve">Hallison </t>
  </si>
  <si>
    <t xml:space="preserve">Hatboro </t>
  </si>
  <si>
    <t xml:space="preserve">Helena </t>
  </si>
  <si>
    <t xml:space="preserve">Herndon </t>
  </si>
  <si>
    <t xml:space="preserve">Hibriten </t>
  </si>
  <si>
    <t xml:space="preserve">Hiwassee </t>
  </si>
  <si>
    <t xml:space="preserve">Hobonny </t>
  </si>
  <si>
    <t xml:space="preserve">Hobucken </t>
  </si>
  <si>
    <t xml:space="preserve">Hornsboro </t>
  </si>
  <si>
    <t xml:space="preserve">Hulett </t>
  </si>
  <si>
    <t xml:space="preserve">Hyde </t>
  </si>
  <si>
    <t xml:space="preserve">Hydeland </t>
  </si>
  <si>
    <t xml:space="preserve">Icaria </t>
  </si>
  <si>
    <t xml:space="preserve">Invershiel </t>
  </si>
  <si>
    <t xml:space="preserve">Johns </t>
  </si>
  <si>
    <t xml:space="preserve">Kalmia </t>
  </si>
  <si>
    <t xml:space="preserve">Kenansville </t>
  </si>
  <si>
    <t xml:space="preserve">Kirksey </t>
  </si>
  <si>
    <t xml:space="preserve">Kureb </t>
  </si>
  <si>
    <t xml:space="preserve">Lakeland </t>
  </si>
  <si>
    <t xml:space="preserve">Leaf </t>
  </si>
  <si>
    <t xml:space="preserve">Leaksville </t>
  </si>
  <si>
    <t xml:space="preserve">Leon </t>
  </si>
  <si>
    <t xml:space="preserve">Liddell </t>
  </si>
  <si>
    <t xml:space="preserve">Lignum </t>
  </si>
  <si>
    <t xml:space="preserve">Lillington </t>
  </si>
  <si>
    <t xml:space="preserve">Lloyd </t>
  </si>
  <si>
    <t xml:space="preserve">Longshoal </t>
  </si>
  <si>
    <t xml:space="preserve">Louisa </t>
  </si>
  <si>
    <t xml:space="preserve">Lucy </t>
  </si>
  <si>
    <t xml:space="preserve">Lumbee </t>
  </si>
  <si>
    <t xml:space="preserve">Lynchburg </t>
  </si>
  <si>
    <t xml:space="preserve">Lynn Haven </t>
  </si>
  <si>
    <t xml:space="preserve">Mandarin </t>
  </si>
  <si>
    <t xml:space="preserve">Mantachie </t>
  </si>
  <si>
    <t xml:space="preserve">Marlboro </t>
  </si>
  <si>
    <t xml:space="preserve">Marvyn </t>
  </si>
  <si>
    <t xml:space="preserve">Masada </t>
  </si>
  <si>
    <t xml:space="preserve">Masontown </t>
  </si>
  <si>
    <t xml:space="preserve">Mattaponi </t>
  </si>
  <si>
    <t xml:space="preserve">Maxton </t>
  </si>
  <si>
    <t xml:space="preserve">Mayodan </t>
  </si>
  <si>
    <t xml:space="preserve">McColl </t>
  </si>
  <si>
    <t xml:space="preserve">McQueen </t>
  </si>
  <si>
    <t xml:space="preserve">Meadowfield </t>
  </si>
  <si>
    <t xml:space="preserve">Mecklenburg </t>
  </si>
  <si>
    <t xml:space="preserve">Meggett </t>
  </si>
  <si>
    <t xml:space="preserve">Merry Oaks </t>
  </si>
  <si>
    <t xml:space="preserve">Misenheimer </t>
  </si>
  <si>
    <t xml:space="preserve">Monacan </t>
  </si>
  <si>
    <t xml:space="preserve">Moncure </t>
  </si>
  <si>
    <t xml:space="preserve">Montonia </t>
  </si>
  <si>
    <t xml:space="preserve">Mooshaunee </t>
  </si>
  <si>
    <t xml:space="preserve">Muckalee </t>
  </si>
  <si>
    <t xml:space="preserve">Munden </t>
  </si>
  <si>
    <t xml:space="preserve">Murville </t>
  </si>
  <si>
    <t xml:space="preserve">Myatt </t>
  </si>
  <si>
    <t xml:space="preserve">Nahunta </t>
  </si>
  <si>
    <t xml:space="preserve">Nakina </t>
  </si>
  <si>
    <t xml:space="preserve">Nanford </t>
  </si>
  <si>
    <t xml:space="preserve">Nankin </t>
  </si>
  <si>
    <t xml:space="preserve">Nason </t>
  </si>
  <si>
    <t xml:space="preserve">Nawney </t>
  </si>
  <si>
    <t xml:space="preserve">Neeses </t>
  </si>
  <si>
    <t xml:space="preserve">Newhan </t>
  </si>
  <si>
    <t xml:space="preserve">Newholland </t>
  </si>
  <si>
    <t xml:space="preserve">Nimmo </t>
  </si>
  <si>
    <t xml:space="preserve">Nixonton </t>
  </si>
  <si>
    <t xml:space="preserve">Noboco </t>
  </si>
  <si>
    <t xml:space="preserve">Norfolk </t>
  </si>
  <si>
    <t xml:space="preserve">Oakboro </t>
  </si>
  <si>
    <t xml:space="preserve">Ocilla </t>
  </si>
  <si>
    <t xml:space="preserve">Orangeburg </t>
  </si>
  <si>
    <t xml:space="preserve">Osier </t>
  </si>
  <si>
    <t xml:space="preserve">Ousley </t>
  </si>
  <si>
    <t xml:space="preserve">Pacolet </t>
  </si>
  <si>
    <t xml:space="preserve">Pactolus </t>
  </si>
  <si>
    <t xml:space="preserve">Pantego </t>
  </si>
  <si>
    <t xml:space="preserve">Paxville </t>
  </si>
  <si>
    <t xml:space="preserve">Peakin </t>
  </si>
  <si>
    <t xml:space="preserve">Peawick </t>
  </si>
  <si>
    <t xml:space="preserve">Pelion </t>
  </si>
  <si>
    <t xml:space="preserve">Perquimans </t>
  </si>
  <si>
    <t xml:space="preserve">Pettigrew </t>
  </si>
  <si>
    <t xml:space="preserve">Picture </t>
  </si>
  <si>
    <t xml:space="preserve">Pinkston </t>
  </si>
  <si>
    <t xml:space="preserve">Pinoka </t>
  </si>
  <si>
    <t xml:space="preserve">Pittsboro </t>
  </si>
  <si>
    <t xml:space="preserve">Plummer </t>
  </si>
  <si>
    <t xml:space="preserve">Pocalla </t>
  </si>
  <si>
    <t xml:space="preserve">Poindexter </t>
  </si>
  <si>
    <t xml:space="preserve">Polawana </t>
  </si>
  <si>
    <t xml:space="preserve">Polkton </t>
  </si>
  <si>
    <t xml:space="preserve">Ponzer </t>
  </si>
  <si>
    <t xml:space="preserve">Portsmouth </t>
  </si>
  <si>
    <t xml:space="preserve">Pungo </t>
  </si>
  <si>
    <t xml:space="preserve">Rains </t>
  </si>
  <si>
    <t xml:space="preserve">Redbrush </t>
  </si>
  <si>
    <t xml:space="preserve">Rhodhiss </t>
  </si>
  <si>
    <t xml:space="preserve">Rimini </t>
  </si>
  <si>
    <t xml:space="preserve">Rion </t>
  </si>
  <si>
    <t xml:space="preserve">Riverview </t>
  </si>
  <si>
    <t xml:space="preserve">Roanoke </t>
  </si>
  <si>
    <t xml:space="preserve">Roper </t>
  </si>
  <si>
    <t xml:space="preserve">Rumford </t>
  </si>
  <si>
    <t xml:space="preserve">Ruston </t>
  </si>
  <si>
    <t xml:space="preserve">Rutlege </t>
  </si>
  <si>
    <t xml:space="preserve">Saw </t>
  </si>
  <si>
    <t xml:space="preserve">Scuppernong </t>
  </si>
  <si>
    <t xml:space="preserve">Seabrook </t>
  </si>
  <si>
    <t xml:space="preserve">Seagate </t>
  </si>
  <si>
    <t xml:space="preserve">Secrest </t>
  </si>
  <si>
    <t xml:space="preserve">Sedgefield </t>
  </si>
  <si>
    <t xml:space="preserve">Seewee </t>
  </si>
  <si>
    <t xml:space="preserve">Shellbluff </t>
  </si>
  <si>
    <t xml:space="preserve">Siloam </t>
  </si>
  <si>
    <t xml:space="preserve">Skyuka </t>
  </si>
  <si>
    <t xml:space="preserve">Spray </t>
  </si>
  <si>
    <t xml:space="preserve">Stallings </t>
  </si>
  <si>
    <t xml:space="preserve">Starr </t>
  </si>
  <si>
    <t xml:space="preserve">State </t>
  </si>
  <si>
    <t xml:space="preserve">Stockade </t>
  </si>
  <si>
    <t xml:space="preserve">Stoneville </t>
  </si>
  <si>
    <t xml:space="preserve">Stott Knob </t>
  </si>
  <si>
    <t xml:space="preserve">Suffolk </t>
  </si>
  <si>
    <t xml:space="preserve">Tallapoosa </t>
  </si>
  <si>
    <t xml:space="preserve">Tarboro </t>
  </si>
  <si>
    <t xml:space="preserve">Tarrus </t>
  </si>
  <si>
    <t xml:space="preserve">Tatum </t>
  </si>
  <si>
    <t xml:space="preserve">Tetotum </t>
  </si>
  <si>
    <t xml:space="preserve">Thursa </t>
  </si>
  <si>
    <t xml:space="preserve">Toast </t>
  </si>
  <si>
    <t xml:space="preserve">Toccoa </t>
  </si>
  <si>
    <t xml:space="preserve">Toisnot </t>
  </si>
  <si>
    <t xml:space="preserve">Tomahawk </t>
  </si>
  <si>
    <t xml:space="preserve">Tomotley </t>
  </si>
  <si>
    <t xml:space="preserve">Torhunta </t>
  </si>
  <si>
    <t xml:space="preserve">﻿Troup </t>
  </si>
  <si>
    <t xml:space="preserve">Turbeville </t>
  </si>
  <si>
    <t xml:space="preserve">Uchee </t>
  </si>
  <si>
    <t xml:space="preserve">Uwharrie </t>
  </si>
  <si>
    <t xml:space="preserve">Valhalla </t>
  </si>
  <si>
    <t xml:space="preserve">Vance </t>
  </si>
  <si>
    <t xml:space="preserve">Varina </t>
  </si>
  <si>
    <t xml:space="preserve">Vaucluse </t>
  </si>
  <si>
    <t xml:space="preserve">Wagram </t>
  </si>
  <si>
    <t xml:space="preserve">Wahee </t>
  </si>
  <si>
    <t xml:space="preserve">Wakulla </t>
  </si>
  <si>
    <t xml:space="preserve">Wando </t>
  </si>
  <si>
    <t xml:space="preserve">Wasda </t>
  </si>
  <si>
    <t xml:space="preserve">Wateree </t>
  </si>
  <si>
    <t xml:space="preserve">Wedowee </t>
  </si>
  <si>
    <t xml:space="preserve">Weeksville </t>
  </si>
  <si>
    <t xml:space="preserve">Wehadkee </t>
  </si>
  <si>
    <t xml:space="preserve">Westfield </t>
  </si>
  <si>
    <t xml:space="preserve">White Store </t>
  </si>
  <si>
    <t xml:space="preserve">Wickham </t>
  </si>
  <si>
    <t xml:space="preserve">Wilbanks </t>
  </si>
  <si>
    <t xml:space="preserve">Winnsboro </t>
  </si>
  <si>
    <t xml:space="preserve">Winton </t>
  </si>
  <si>
    <t xml:space="preserve">Woodington </t>
  </si>
  <si>
    <t xml:space="preserve">Woolwine </t>
  </si>
  <si>
    <t xml:space="preserve">Worsham </t>
  </si>
  <si>
    <t xml:space="preserve">Wrightsboro </t>
  </si>
  <si>
    <t xml:space="preserve">Wynott </t>
  </si>
  <si>
    <t xml:space="preserve">Wysocking </t>
  </si>
  <si>
    <t xml:space="preserve">Yaupon </t>
  </si>
  <si>
    <t xml:space="preserve">Yeopim </t>
  </si>
  <si>
    <t xml:space="preserve">Yonges </t>
  </si>
  <si>
    <t xml:space="preserve">Zion </t>
  </si>
  <si>
    <t>WatSoil</t>
  </si>
  <si>
    <t>Crop1</t>
  </si>
  <si>
    <t>Crop3</t>
  </si>
  <si>
    <t>Plant</t>
  </si>
  <si>
    <t>Acres</t>
  </si>
  <si>
    <t>fletcher</t>
  </si>
  <si>
    <t>Mitchell</t>
  </si>
  <si>
    <t>Alleghany</t>
  </si>
  <si>
    <t>salisbury</t>
  </si>
  <si>
    <t>Vance</t>
  </si>
  <si>
    <t>Gates</t>
  </si>
  <si>
    <t>Camden</t>
  </si>
  <si>
    <t>Currituck</t>
  </si>
  <si>
    <t>Perquimans</t>
  </si>
  <si>
    <t>Greene</t>
  </si>
  <si>
    <t>Tyrrell</t>
  </si>
  <si>
    <t>Monthly Total, in.</t>
  </si>
  <si>
    <t>Days/mo.</t>
  </si>
  <si>
    <t>Transposed</t>
  </si>
  <si>
    <t>Values</t>
  </si>
  <si>
    <t>kc.crop2</t>
  </si>
  <si>
    <t>kc.crop3</t>
  </si>
  <si>
    <t>etc.crop1</t>
  </si>
  <si>
    <t>kc.crop1</t>
  </si>
  <si>
    <t>ref.et</t>
  </si>
  <si>
    <t>etc.crop2</t>
  </si>
  <si>
    <t>etc.crop3</t>
  </si>
  <si>
    <t>days.init</t>
  </si>
  <si>
    <t>day.dev</t>
  </si>
  <si>
    <t>days.mid</t>
  </si>
  <si>
    <t>days.late</t>
  </si>
  <si>
    <t>kc.ini</t>
  </si>
  <si>
    <t>kc.mid</t>
  </si>
  <si>
    <t>kc.late</t>
  </si>
  <si>
    <t>Peanut</t>
  </si>
  <si>
    <t>Orchard with Cover</t>
  </si>
  <si>
    <t>Orchard no Cover</t>
  </si>
  <si>
    <t>Orchard with cover</t>
  </si>
  <si>
    <t>Orchard no cover</t>
  </si>
  <si>
    <t>total</t>
  </si>
  <si>
    <t>kc.1</t>
  </si>
  <si>
    <t>kc.2</t>
  </si>
  <si>
    <t>kc.3</t>
  </si>
  <si>
    <t>JD</t>
  </si>
  <si>
    <t>JD.Plant</t>
  </si>
  <si>
    <t>dev</t>
  </si>
  <si>
    <t>mid</t>
  </si>
  <si>
    <t>late</t>
  </si>
  <si>
    <t>Crop2</t>
  </si>
  <si>
    <t>init</t>
  </si>
  <si>
    <t>kc.1.dev</t>
  </si>
  <si>
    <t>kc.1.mid</t>
  </si>
  <si>
    <t>kc.1.late</t>
  </si>
  <si>
    <t>kc.1.init</t>
  </si>
  <si>
    <t>NIR.crop1</t>
  </si>
  <si>
    <t>NIR.crop2</t>
  </si>
  <si>
    <t>NIR.crop3</t>
  </si>
  <si>
    <t>eff.</t>
  </si>
  <si>
    <t>rainfall,SCS</t>
  </si>
  <si>
    <t>ppt</t>
  </si>
  <si>
    <t>eff.ppt.crop1</t>
  </si>
  <si>
    <t>D</t>
  </si>
  <si>
    <t>SF</t>
  </si>
  <si>
    <t>eff.ppt.crop2</t>
  </si>
  <si>
    <t>kc.2.init</t>
  </si>
  <si>
    <t>kc.2.dev</t>
  </si>
  <si>
    <t>kc.2.mid</t>
  </si>
  <si>
    <t>kc.2.late</t>
  </si>
  <si>
    <t>kc.3.init</t>
  </si>
  <si>
    <t>kc.3.dev</t>
  </si>
  <si>
    <t>kc.3.mid</t>
  </si>
  <si>
    <t>kc.3.late</t>
  </si>
  <si>
    <t>eff.ppt.crop3</t>
  </si>
  <si>
    <t>Irrigation System Type</t>
  </si>
  <si>
    <t>Drip</t>
  </si>
  <si>
    <t>Center Pivot</t>
  </si>
  <si>
    <t>Solid Set</t>
  </si>
  <si>
    <t>Traveling Gun</t>
  </si>
  <si>
    <t>irr.system</t>
  </si>
  <si>
    <t>efficiency</t>
  </si>
  <si>
    <t>GIR.crop1</t>
  </si>
  <si>
    <t>GIR.crop2</t>
  </si>
  <si>
    <t>GIR.crop3</t>
  </si>
  <si>
    <t>Custom</t>
  </si>
  <si>
    <t>Acre.feet</t>
  </si>
  <si>
    <t>wgtd.GIR</t>
  </si>
  <si>
    <t>Pasture - grazed - good</t>
  </si>
  <si>
    <t>Pasture - grazed - fair</t>
  </si>
  <si>
    <t>Pasture - grazed - poor</t>
  </si>
  <si>
    <t>Meadow - not grazed</t>
  </si>
  <si>
    <t>Woods - good</t>
  </si>
  <si>
    <t>Woods - fair</t>
  </si>
  <si>
    <t>Woods - poor</t>
  </si>
  <si>
    <t>A</t>
  </si>
  <si>
    <t>B</t>
  </si>
  <si>
    <t>C</t>
  </si>
  <si>
    <t>Row Crops - SR - poor</t>
  </si>
  <si>
    <t>Row Crops - SR - good</t>
  </si>
  <si>
    <t>Row Crops - C + CR  - poor</t>
  </si>
  <si>
    <t>Row Crops - C + CR - good</t>
  </si>
  <si>
    <t>Row Crops - SR + CR -good</t>
  </si>
  <si>
    <t>Row Crops - SR + CR -poor</t>
  </si>
  <si>
    <t>Small Grain - SR - good</t>
  </si>
  <si>
    <t>Small Grain - SR - poor</t>
  </si>
  <si>
    <t>Small Grain - SR + CR -good</t>
  </si>
  <si>
    <t>Small Grain - SR + CR -poor</t>
  </si>
  <si>
    <t>Woods/grass - good</t>
  </si>
  <si>
    <t>Woods/grass - fair</t>
  </si>
  <si>
    <t>Woods/grass - poor</t>
  </si>
  <si>
    <t>Fallow - Bare soil</t>
  </si>
  <si>
    <t>Fallow - CR - poor</t>
  </si>
  <si>
    <t>Fallow - CR - good</t>
  </si>
  <si>
    <t>Cover Type - Area 2</t>
  </si>
  <si>
    <t>Cover Type - Area 3</t>
  </si>
  <si>
    <t>Area, ac</t>
  </si>
  <si>
    <t>Cover1</t>
  </si>
  <si>
    <t>Cover2</t>
  </si>
  <si>
    <t>Cover3</t>
  </si>
  <si>
    <t>WatSize, ac</t>
  </si>
  <si>
    <t>CN</t>
  </si>
  <si>
    <t>Irrigation system</t>
  </si>
  <si>
    <t>Watershed</t>
  </si>
  <si>
    <t>.avgnds.ge050hi</t>
  </si>
  <si>
    <t>ASHEVILLE</t>
  </si>
  <si>
    <t>BENT CREEK</t>
  </si>
  <si>
    <t xml:space="preserve">Bent Creek </t>
  </si>
  <si>
    <t xml:space="preserve">Asheville </t>
  </si>
  <si>
    <t>BURLINGTON FIRE STN #5</t>
  </si>
  <si>
    <t xml:space="preserve">Burlington Fire Stn #5 </t>
  </si>
  <si>
    <t xml:space="preserve">Burlington </t>
  </si>
  <si>
    <t>CANDLER 1W</t>
  </si>
  <si>
    <t>CANTO</t>
  </si>
  <si>
    <t>CAPE HATTERAS AP</t>
  </si>
  <si>
    <t>CHAPEL HILL 2 W</t>
  </si>
  <si>
    <t xml:space="preserve">Chapel Hill 2 W </t>
  </si>
  <si>
    <t xml:space="preserve">Chapel Hill </t>
  </si>
  <si>
    <t>CHERRY POINT MCAS</t>
  </si>
  <si>
    <t>DURHAM</t>
  </si>
  <si>
    <t>ELIZABETH CITY CGAS</t>
  </si>
  <si>
    <t>ENFIELD</t>
  </si>
  <si>
    <t xml:space="preserve">Enfield </t>
  </si>
  <si>
    <t>FAYETTEVILLE POPE AFB</t>
  </si>
  <si>
    <t>FAYETTEVILLE PWC</t>
  </si>
  <si>
    <t xml:space="preserve">Fayetteville Pwc </t>
  </si>
  <si>
    <t xml:space="preserve">Fayetteville </t>
  </si>
  <si>
    <t>GASTONIA</t>
  </si>
  <si>
    <t xml:space="preserve">Gastonia </t>
  </si>
  <si>
    <t>HENDERSON 2 NNW</t>
  </si>
  <si>
    <t xml:space="preserve">Henderson 2 Nnw </t>
  </si>
  <si>
    <t>HIGH POINT</t>
  </si>
  <si>
    <t xml:space="preserve">High Point </t>
  </si>
  <si>
    <t>HOFMANN FOREST</t>
  </si>
  <si>
    <t xml:space="preserve">Hofmann Forest </t>
  </si>
  <si>
    <t xml:space="preserve">Maysville </t>
  </si>
  <si>
    <t>LAKE LURE 2</t>
  </si>
  <si>
    <t xml:space="preserve">Lake Lure 2 </t>
  </si>
  <si>
    <t xml:space="preserve">Lake Lure </t>
  </si>
  <si>
    <t>LAURINBURG</t>
  </si>
  <si>
    <t xml:space="preserve">Laurinburg </t>
  </si>
  <si>
    <t>LONGWOOD</t>
  </si>
  <si>
    <t xml:space="preserve">Longwood </t>
  </si>
  <si>
    <t>LUMBERTON</t>
  </si>
  <si>
    <t xml:space="preserve">Lumberton </t>
  </si>
  <si>
    <t>MONROE 2 SE</t>
  </si>
  <si>
    <t xml:space="preserve">Monroe 2 Se </t>
  </si>
  <si>
    <t xml:space="preserve">Monroe </t>
  </si>
  <si>
    <t>MOREHEAD CITY 2 WNW</t>
  </si>
  <si>
    <t xml:space="preserve">Morehead City 2 Wnw </t>
  </si>
  <si>
    <t xml:space="preserve">Morehead City </t>
  </si>
  <si>
    <t>RALEIGH  AP</t>
  </si>
  <si>
    <t>ROCKY MOUNT</t>
  </si>
  <si>
    <t>TAPOCO</t>
  </si>
  <si>
    <t xml:space="preserve">Tapoco </t>
  </si>
  <si>
    <t>WHITEVILLE 5 S</t>
  </si>
  <si>
    <t>WILMINGTON 7 N</t>
  </si>
  <si>
    <t xml:space="preserve">Wilmington 7 N </t>
  </si>
  <si>
    <t xml:space="preserve">Wilmington </t>
  </si>
  <si>
    <t>ZEBULON 3 SW</t>
  </si>
  <si>
    <t xml:space="preserve">Stanly </t>
  </si>
  <si>
    <t xml:space="preserve">Brunswick </t>
  </si>
  <si>
    <t>Bladen</t>
  </si>
  <si>
    <t>Granville</t>
  </si>
  <si>
    <t>Catawba</t>
  </si>
  <si>
    <t>S</t>
  </si>
  <si>
    <t>P</t>
  </si>
  <si>
    <t>Qm</t>
  </si>
  <si>
    <t>Q1</t>
  </si>
  <si>
    <t>Events</t>
  </si>
  <si>
    <t>Pevent</t>
  </si>
  <si>
    <t>Ia</t>
  </si>
  <si>
    <t>Cm</t>
  </si>
  <si>
    <t>Acre-ft</t>
  </si>
  <si>
    <t>fig.11</t>
  </si>
  <si>
    <t xml:space="preserve">fig. 11 </t>
  </si>
  <si>
    <t>RO.NRCS.Ac.ft.RO</t>
  </si>
  <si>
    <t>Acres-ft.RO</t>
  </si>
  <si>
    <t>Runoff</t>
  </si>
  <si>
    <t>Crop, in</t>
  </si>
  <si>
    <t>Crop, AF</t>
  </si>
  <si>
    <t>Livestock, AF</t>
  </si>
  <si>
    <t>Total</t>
  </si>
  <si>
    <t>Rainfall</t>
  </si>
  <si>
    <t>in.</t>
  </si>
  <si>
    <t>Total, AF</t>
  </si>
  <si>
    <t>----Cumulative---</t>
  </si>
  <si>
    <t>Required Storage</t>
  </si>
  <si>
    <t>Difference</t>
  </si>
  <si>
    <t>Notes</t>
  </si>
  <si>
    <t>inches</t>
  </si>
  <si>
    <t>Runoff, AF</t>
  </si>
  <si>
    <t>Demand, AF</t>
  </si>
  <si>
    <t>Watershed size</t>
  </si>
  <si>
    <t>Irrigated Area</t>
  </si>
  <si>
    <t>acres</t>
  </si>
  <si>
    <t>Cover Type - Area 1</t>
  </si>
  <si>
    <t>Predominant Soil</t>
  </si>
  <si>
    <t>Beef Cattle</t>
  </si>
  <si>
    <t>Beef Cow/calf pair</t>
  </si>
  <si>
    <t>Calves</t>
  </si>
  <si>
    <t>Dry Cow</t>
  </si>
  <si>
    <t>Goats</t>
  </si>
  <si>
    <t>Horses</t>
  </si>
  <si>
    <t>Milking Cow</t>
  </si>
  <si>
    <t>Milking Cow/calf pair</t>
  </si>
  <si>
    <t>Sheep</t>
  </si>
  <si>
    <t>Animal Type</t>
  </si>
  <si>
    <t>Beef Cow</t>
  </si>
  <si>
    <t>Sheep and lambs</t>
  </si>
  <si>
    <t>Adapted from MWPS</t>
  </si>
  <si>
    <t>USGS water needs calculator</t>
  </si>
  <si>
    <t>Livestock</t>
  </si>
  <si>
    <t>Head</t>
  </si>
  <si>
    <t>Livestock.gal</t>
  </si>
  <si>
    <t>Livestock.AF</t>
  </si>
  <si>
    <t>totals</t>
  </si>
  <si>
    <t>Total.Days</t>
  </si>
  <si>
    <t>Acredale Poorly Drained</t>
  </si>
  <si>
    <t>Arapahoe Poorly Drained</t>
  </si>
  <si>
    <t>Ballahack  Poorly Drained</t>
  </si>
  <si>
    <t>Yonges Poorly Drained</t>
  </si>
  <si>
    <t>Wysocking Poorly Drained</t>
  </si>
  <si>
    <t>Woodington Poorly Drained</t>
  </si>
  <si>
    <t>Wasda Poorly Drained</t>
  </si>
  <si>
    <t>Wahee Poorly Drained</t>
  </si>
  <si>
    <t>Tomotley Poorly Drained</t>
  </si>
  <si>
    <t>Stockade Poorly Drained</t>
  </si>
  <si>
    <t>Rutlege Poorly Drained</t>
  </si>
  <si>
    <t>Roper Poorly Drained</t>
  </si>
  <si>
    <t>Roanoke Poorly Drained</t>
  </si>
  <si>
    <t>Rains Poorly Drained</t>
  </si>
  <si>
    <t>Portsmouth Poorly Drained</t>
  </si>
  <si>
    <t>Polawana Poorly Drained</t>
  </si>
  <si>
    <t>Plummer Poorly Drained</t>
  </si>
  <si>
    <t>Perquimans Poorly Drained</t>
  </si>
  <si>
    <t>Pelion Poorly Drained</t>
  </si>
  <si>
    <t>Paxville Poorly Drained</t>
  </si>
  <si>
    <t>Pasquotank Poorly Drained</t>
  </si>
  <si>
    <t>Pantego Poorly Drained</t>
  </si>
  <si>
    <t>Osier Poorly Drained</t>
  </si>
  <si>
    <t>Nimmo Poorly Drained</t>
  </si>
  <si>
    <t>Newholland Poorl Drained</t>
  </si>
  <si>
    <t>Nakina Poorly Drained</t>
  </si>
  <si>
    <t>Myatt Poorly Drained</t>
  </si>
  <si>
    <t>Murville Poorly Drained</t>
  </si>
  <si>
    <t>Mantachie Poorly Drained</t>
  </si>
  <si>
    <t>Lynn Haven Poorly Drained</t>
  </si>
  <si>
    <t>Lumbee Poorly Drained</t>
  </si>
  <si>
    <t>Liddell Poorly Drained</t>
  </si>
  <si>
    <t>Leon Poorly Drained</t>
  </si>
  <si>
    <t>Kinston Poorly Drained</t>
  </si>
  <si>
    <t>Iredell Poorly Drained</t>
  </si>
  <si>
    <t>Icaria Poorly Drained</t>
  </si>
  <si>
    <t>Hydeland Poorly Drained</t>
  </si>
  <si>
    <t>Hyde Poorly Drained</t>
  </si>
  <si>
    <t>Hatboro Poorly Drained</t>
  </si>
  <si>
    <t>Gullrock Poorly Drained</t>
  </si>
  <si>
    <t>Fortescue Poorly Drained</t>
  </si>
  <si>
    <t>Engelhard Poorly Drained</t>
  </si>
  <si>
    <t>Dunbar Poorly Drained</t>
  </si>
  <si>
    <t>Duckston Poorly Drained</t>
  </si>
  <si>
    <t>Deloss Poorly Drained</t>
  </si>
  <si>
    <t>Croatan Poorly Drained</t>
  </si>
  <si>
    <t>Corolla Poorly Drained</t>
  </si>
  <si>
    <t>Conaby Poorly Drained</t>
  </si>
  <si>
    <t>Chapanoke Poorly Drained</t>
  </si>
  <si>
    <t>Cape Lookout Poorly Drained</t>
  </si>
  <si>
    <t>Cape Fear Poorly Drained</t>
  </si>
  <si>
    <t>AF</t>
  </si>
  <si>
    <t>Deficit</t>
  </si>
  <si>
    <t>-----------------Demand------------------</t>
  </si>
  <si>
    <t>Double.Crop</t>
  </si>
  <si>
    <t>Tobacco</t>
  </si>
  <si>
    <t>Watermelon</t>
  </si>
  <si>
    <t>ppt, in.</t>
  </si>
  <si>
    <t>ET0, in.</t>
  </si>
  <si>
    <t>Kc</t>
  </si>
  <si>
    <t>Etc, in.</t>
  </si>
  <si>
    <t>Pe, in.</t>
  </si>
  <si>
    <t>NIR, in.</t>
  </si>
  <si>
    <t>GIR, in.</t>
  </si>
  <si>
    <t>Notes:</t>
  </si>
  <si>
    <t>Version 7.1</t>
  </si>
  <si>
    <t>7.1 adds a second summary sheet showing just irrigation water requirements (no storage calculations).  This is intended for water supply planning regardless of water source</t>
  </si>
  <si>
    <t xml:space="preserve">Monthly </t>
  </si>
  <si>
    <t>Excess</t>
  </si>
  <si>
    <t>Enter Pond Capacity, AF</t>
  </si>
  <si>
    <t>Begin</t>
  </si>
  <si>
    <t>End</t>
  </si>
  <si>
    <t>Enter Beginning Storage, AF</t>
  </si>
  <si>
    <t>Pond Capacity Notes</t>
  </si>
  <si>
    <t>Beginning Storage Notes</t>
  </si>
  <si>
    <t>Spill</t>
  </si>
  <si>
    <t>Sweet Potato</t>
  </si>
  <si>
    <t>Strawberries</t>
  </si>
  <si>
    <t>Storage, AF</t>
  </si>
  <si>
    <t>Version 8.0</t>
  </si>
  <si>
    <t xml:space="preserve">8.0 adds strawberries and sweet potato and cleans up the inverse design page.  Added storage logic to compute storage as maximum month demand if no deficit for any month (that amount of runoff will need to be collected.  Used no. of events to divide monthly precipitation in the SCS method.  Also changed required storage to be the sum of deficit if that exceeds greatest difference in cum. supply and demand.   This is because deficit assumes all of surface water used to supply demand.  </t>
  </si>
  <si>
    <t>inflow first</t>
  </si>
  <si>
    <t>irrigation first</t>
  </si>
  <si>
    <t>Operation Mode</t>
  </si>
  <si>
    <t>Version 2.0</t>
  </si>
  <si>
    <t>Added 8 missing counties.</t>
  </si>
  <si>
    <t>In pond operation page, added "demand first" or "runoff first" options which consider order of operation.  Adjusted required storage to include a scenarion when all months have adequate runoff but need somewhere to store it (for pumping/irrigation).  Version 2.0 is subsequent to Version 8.0.  Decided to go back to basic 1.0, 2.0, etc. labeling with 0.01, 0.1 for minor changes.</t>
  </si>
  <si>
    <t>Alarka</t>
  </si>
  <si>
    <t>Anakeesta</t>
  </si>
  <si>
    <t>Arkaqua</t>
  </si>
  <si>
    <t>Ashe</t>
  </si>
  <si>
    <t>Balsam</t>
  </si>
  <si>
    <t>Bandana</t>
  </si>
  <si>
    <t>Biltmore</t>
  </si>
  <si>
    <t>Braddock</t>
  </si>
  <si>
    <t>Bradson</t>
  </si>
  <si>
    <t>Brasstown</t>
  </si>
  <si>
    <t>Breakneck</t>
  </si>
  <si>
    <t>Brevard</t>
  </si>
  <si>
    <t>Brownwood</t>
  </si>
  <si>
    <t>Buladean</t>
  </si>
  <si>
    <t>Burton</t>
  </si>
  <si>
    <t>Calvin</t>
  </si>
  <si>
    <t>Cashiers</t>
  </si>
  <si>
    <t>Cataloochee</t>
  </si>
  <si>
    <t>Cataska</t>
  </si>
  <si>
    <t>Chandler</t>
  </si>
  <si>
    <t>Cheoah</t>
  </si>
  <si>
    <t>Chester</t>
  </si>
  <si>
    <t>Chestnut</t>
  </si>
  <si>
    <t>Chestoa</t>
  </si>
  <si>
    <t>Chiltoskie</t>
  </si>
  <si>
    <t>Chute</t>
  </si>
  <si>
    <t>Cleveland</t>
  </si>
  <si>
    <t>Cliffield</t>
  </si>
  <si>
    <t>Clifton</t>
  </si>
  <si>
    <t>Clingman</t>
  </si>
  <si>
    <t>Colvard</t>
  </si>
  <si>
    <t>Cowee</t>
  </si>
  <si>
    <t>Craggey</t>
  </si>
  <si>
    <t>Crossnore</t>
  </si>
  <si>
    <t>Cruso</t>
  </si>
  <si>
    <t>Cullasaja</t>
  </si>
  <si>
    <t>Cullowhee</t>
  </si>
  <si>
    <t>Dellwood</t>
  </si>
  <si>
    <t>Dillard</t>
  </si>
  <si>
    <t>Dillsboro</t>
  </si>
  <si>
    <t>Ditney</t>
  </si>
  <si>
    <t>Edneytown</t>
  </si>
  <si>
    <t>Edneyville</t>
  </si>
  <si>
    <t>Ela</t>
  </si>
  <si>
    <t>Ellijay</t>
  </si>
  <si>
    <t>Elsinboro</t>
  </si>
  <si>
    <t>Eutrochrepts</t>
  </si>
  <si>
    <t>Evard</t>
  </si>
  <si>
    <t>Fannin</t>
  </si>
  <si>
    <t>Fluvaquents</t>
  </si>
  <si>
    <t>Fontaflora</t>
  </si>
  <si>
    <t>French</t>
  </si>
  <si>
    <t>Greenlee</t>
  </si>
  <si>
    <t>Guyot</t>
  </si>
  <si>
    <t>Harmiller</t>
  </si>
  <si>
    <t>Hayesville</t>
  </si>
  <si>
    <t>Heintooga</t>
  </si>
  <si>
    <t>Hemphill</t>
  </si>
  <si>
    <t>Huntdale</t>
  </si>
  <si>
    <t>Iotla</t>
  </si>
  <si>
    <t>Jeffrey</t>
  </si>
  <si>
    <t>Junaluska</t>
  </si>
  <si>
    <t>Kanuga</t>
  </si>
  <si>
    <t>Keener</t>
  </si>
  <si>
    <t>Kinkora</t>
  </si>
  <si>
    <t>Lauada</t>
  </si>
  <si>
    <t>Leatherwood</t>
  </si>
  <si>
    <t>Longhope</t>
  </si>
  <si>
    <t>Lonon</t>
  </si>
  <si>
    <t>Lostcove</t>
  </si>
  <si>
    <t>Luftee</t>
  </si>
  <si>
    <t>Mars Hill</t>
  </si>
  <si>
    <t>Maymead</t>
  </si>
  <si>
    <t>Micaville</t>
  </si>
  <si>
    <t>Nantahala</t>
  </si>
  <si>
    <t>Nikwasi</t>
  </si>
  <si>
    <t>B/D</t>
  </si>
  <si>
    <t>Northcove</t>
  </si>
  <si>
    <t>Nowhere</t>
  </si>
  <si>
    <t>Oconaluftee</t>
  </si>
  <si>
    <t>Ostin</t>
  </si>
  <si>
    <t>Oteen</t>
  </si>
  <si>
    <t>Pigeonroost</t>
  </si>
  <si>
    <t>Pilot Mountain</t>
  </si>
  <si>
    <t>Plott</t>
  </si>
  <si>
    <t>Porters</t>
  </si>
  <si>
    <t>Pullback</t>
  </si>
  <si>
    <t>Reddies</t>
  </si>
  <si>
    <t>Rock outcrop</t>
  </si>
  <si>
    <t>Rosman</t>
  </si>
  <si>
    <t>Rubble land</t>
  </si>
  <si>
    <t>Saluda</t>
  </si>
  <si>
    <t>Santeetlah</t>
  </si>
  <si>
    <t>Saunook</t>
  </si>
  <si>
    <t>Sauratown</t>
  </si>
  <si>
    <t>Shinbone</t>
  </si>
  <si>
    <t>Smokemont</t>
  </si>
  <si>
    <t>Snowbird</t>
  </si>
  <si>
    <t>Soco</t>
  </si>
  <si>
    <t>Spivey</t>
  </si>
  <si>
    <t>Statler</t>
  </si>
  <si>
    <t>Stecoah</t>
  </si>
  <si>
    <t>Suches</t>
  </si>
  <si>
    <t>Swannanoa</t>
  </si>
  <si>
    <t>Sylco</t>
  </si>
  <si>
    <t>Sylva</t>
  </si>
  <si>
    <t>Tanasee</t>
  </si>
  <si>
    <t>Tate</t>
  </si>
  <si>
    <t>Thunder</t>
  </si>
  <si>
    <t>Thurmont</t>
  </si>
  <si>
    <t>Toecane</t>
  </si>
  <si>
    <t>Toxaway</t>
  </si>
  <si>
    <t>Transylvania</t>
  </si>
  <si>
    <t>Trimont</t>
  </si>
  <si>
    <t>Tsali</t>
  </si>
  <si>
    <t>Tuckasegee</t>
  </si>
  <si>
    <t>Tusquitee</t>
  </si>
  <si>
    <t>Udifluvents</t>
  </si>
  <si>
    <t>Udorthents</t>
  </si>
  <si>
    <t>Unaka</t>
  </si>
  <si>
    <t>Unicoi</t>
  </si>
  <si>
    <t>Unison</t>
  </si>
  <si>
    <t>Walnut</t>
  </si>
  <si>
    <t>Watauga</t>
  </si>
  <si>
    <t>Wayah</t>
  </si>
  <si>
    <t>Wesser</t>
  </si>
  <si>
    <t>Whiteoak</t>
  </si>
  <si>
    <t>Whiteside</t>
  </si>
  <si>
    <t>Zillicoa</t>
  </si>
  <si>
    <t>90</t>
  </si>
  <si>
    <t>Version 8.01</t>
  </si>
  <si>
    <t>Version 8.02</t>
  </si>
  <si>
    <t>Add mountain soils</t>
  </si>
  <si>
    <t>Null</t>
  </si>
  <si>
    <t>80</t>
  </si>
  <si>
    <t>RUNOFF</t>
  </si>
  <si>
    <t>GIR</t>
  </si>
  <si>
    <t>75</t>
  </si>
  <si>
    <t>SUM</t>
  </si>
  <si>
    <t>AVG</t>
  </si>
  <si>
    <t>TOTAL</t>
  </si>
  <si>
    <t>% of TOTAL</t>
  </si>
  <si>
    <t>INVERSE %</t>
  </si>
  <si>
    <t>Watershed Runoff</t>
  </si>
  <si>
    <t>CROP DEMAND</t>
  </si>
  <si>
    <t>Crop 1</t>
  </si>
  <si>
    <t>Crop 2</t>
  </si>
  <si>
    <t>Crop 3</t>
  </si>
  <si>
    <t>INV %</t>
  </si>
  <si>
    <t>WS Runoff per crop (AF)</t>
  </si>
  <si>
    <t>SINGLE CROP ACRES</t>
  </si>
  <si>
    <t>MULTIPLE CROP ACRES</t>
  </si>
  <si>
    <t>* The number of SINGLE crop acres that can be adequately irrigated from the amount of runoff water in this watershed.</t>
  </si>
  <si>
    <t>* The number of MULTIPLE crop acres that can be adequatley irrigated from the amount of runoff water in this watershed.</t>
  </si>
  <si>
    <t>Watershed Runoff DEFICIT (%)</t>
  </si>
  <si>
    <t>* The watershed will meet this percent of the planned demand</t>
  </si>
  <si>
    <t>Pond Volume (AF)</t>
  </si>
  <si>
    <t>Pond Size Deficit (%)</t>
  </si>
  <si>
    <t>* The percent of demand that will be met with the planned pond volume</t>
  </si>
  <si>
    <t>AgWRAP WATER BALANCE RESULTS</t>
  </si>
  <si>
    <t>TECHNICAL REPRESENTATIVE</t>
  </si>
  <si>
    <t>Agency</t>
  </si>
  <si>
    <t>Date</t>
  </si>
  <si>
    <t>CROP</t>
  </si>
  <si>
    <t>IRRIGATED
ACRES</t>
  </si>
  <si>
    <t>POND VOLUME (AF)</t>
  </si>
  <si>
    <t>WATERSHED SIZE (Acres)</t>
  </si>
  <si>
    <t>PERCENT OF DEMAND MET</t>
  </si>
  <si>
    <t>LIMITATIONS</t>
  </si>
  <si>
    <t>MAX</t>
  </si>
  <si>
    <t>Total GIR</t>
  </si>
  <si>
    <t>TEXT</t>
  </si>
  <si>
    <t>The WATERSHED RUNOFF VOLUME is insufficient for meeting the irrigation demand of the planned crop acres.</t>
  </si>
  <si>
    <t xml:space="preserve">The watershed only has sufficient runoff volume to adequately irrigate the crop acres listed below. Increasing the pond volume will not result in additional crop acres. </t>
  </si>
  <si>
    <t>Average 1</t>
  </si>
  <si>
    <t>Average 2</t>
  </si>
  <si>
    <t>Acres1</t>
  </si>
  <si>
    <t>Acres2</t>
  </si>
  <si>
    <t>ACRES</t>
  </si>
  <si>
    <t>INV%</t>
  </si>
  <si>
    <t>The planned POND VOLUME is insufficient for meeting the irrigation demand of the planned crop acres.</t>
  </si>
  <si>
    <t>MAXIMUM Pond Size</t>
  </si>
  <si>
    <t>MIN</t>
  </si>
  <si>
    <t>DETAILS</t>
  </si>
  <si>
    <t>MULTIPLE CROPS IRRIGATED</t>
  </si>
  <si>
    <t>SINGLE CROP IRRIGATED</t>
  </si>
  <si>
    <t>CROP ACRES THAT CAN BE ADEQUATELY IRRIGATED</t>
  </si>
  <si>
    <t>The POND VOLUME and WATERSHED RUNOFF VOLUME will adequately meet the irrigation demand of the planned crops.</t>
  </si>
  <si>
    <t>MAXIMUM POND VOLUME</t>
  </si>
  <si>
    <t xml:space="preserve"> Acres</t>
  </si>
  <si>
    <t>Planned Acres</t>
  </si>
  <si>
    <t>Irrigated Acres</t>
  </si>
  <si>
    <t>GIR (AF)</t>
  </si>
  <si>
    <t>Demand TOTAL</t>
  </si>
  <si>
    <t>DEFICIT</t>
  </si>
  <si>
    <t xml:space="preserve">• The planned pond volume will only provide enough storage to adequately irrigate the crop acres listed below.
• Increasing the pond size, if feasible, will result in additional crop acres that can be adequately irrigated.
• Irrigated crop acres will increase with increased pond size up to the maximum pond volume listed below. 
• At pond volumes greater than the maximum, irrigated crop acres are limited by the watershed runoff volume.
</t>
  </si>
  <si>
    <t>or</t>
  </si>
  <si>
    <t>25</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</si>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</sst>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m/d;@"/>
    <numFmt numFmtId="166" formatCode="0.0"/>
    <numFmt numFmtId="167" formatCode="#,##0.00;[Red]#,##0.00"/>
  </numFmts>
  <fonts count="20" x14ac:knownFonts="1">
    <font>
      <sz val="11"/>
      <color theme="1"/>
      <name val="Calibri"/>
      <family val="2"/>
      <scheme val="minor"/>
    </font>
    <font>
      <b/>
      <sz val="11"/>
      <color theme="1"/>
      <name val="Calibri"/>
      <family val="2"/>
      <scheme val="minor"/>
    </font>
    <font>
      <b/>
      <sz val="10"/>
      <color indexed="81"/>
      <name val="Tahoma"/>
      <family val="2"/>
    </font>
    <font>
      <sz val="10"/>
      <color indexed="81"/>
      <name val="Tahoma"/>
      <family val="2"/>
    </font>
    <font>
      <sz val="9"/>
      <color indexed="81"/>
      <name val="Tahoma"/>
      <family val="2"/>
    </font>
    <font>
      <b/>
      <sz val="9"/>
      <color indexed="81"/>
      <name val="Tahoma"/>
      <family val="2"/>
    </font>
    <font>
      <sz val="11"/>
      <color rgb="FFFF0000"/>
      <name val="Calibri"/>
      <family val="2"/>
      <scheme val="minor"/>
    </font>
    <font>
      <sz val="12"/>
      <color theme="1"/>
      <name val="Calibri"/>
      <family val="2"/>
      <scheme val="minor"/>
    </font>
    <font>
      <sz val="11"/>
      <name val="Arial"/>
      <family val="2"/>
    </font>
    <font>
      <sz val="11"/>
      <color theme="1"/>
      <name val="Arial"/>
      <family val="2"/>
    </font>
    <font>
      <sz val="12"/>
      <color indexed="8"/>
      <name val="Calibri"/>
      <family val="2"/>
      <scheme val="minor"/>
    </font>
    <font>
      <b/>
      <sz val="14"/>
      <color theme="1"/>
      <name val="Calibri"/>
      <family val="2"/>
      <scheme val="minor"/>
    </font>
    <font>
      <sz val="12"/>
      <name val="Calibri"/>
      <family val="2"/>
      <scheme val="minor"/>
    </font>
    <font>
      <sz val="11"/>
      <name val="Calibri"/>
      <family val="2"/>
      <scheme val="minor"/>
    </font>
    <font>
      <sz val="12"/>
      <color indexed="10"/>
      <name val="Calibri"/>
      <family val="2"/>
      <scheme val="minor"/>
    </font>
    <font>
      <sz val="14"/>
      <color theme="1"/>
      <name val="Calibri"/>
      <family val="2"/>
      <scheme val="minor"/>
    </font>
    <font>
      <sz val="16"/>
      <color theme="1"/>
      <name val="Calibri"/>
      <family val="2"/>
      <scheme val="minor"/>
    </font>
    <font>
      <b/>
      <sz val="12"/>
      <color theme="1"/>
      <name val="Calibri"/>
      <family val="2"/>
      <scheme val="minor"/>
    </font>
    <font>
      <b/>
      <sz val="20"/>
      <color theme="1"/>
      <name val="Calibri"/>
      <family val="2"/>
      <scheme val="minor"/>
    </font>
    <font>
      <b/>
      <sz val="11"/>
      <name val="Calibri"/>
      <family val="2"/>
      <scheme val="minor"/>
    </font>
  </fonts>
  <fills count="15">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92D050"/>
        <bgColor indexed="64"/>
      </patternFill>
    </fill>
    <fill>
      <patternFill patternType="solid">
        <fgColor rgb="FF82FF6D"/>
        <bgColor indexed="64"/>
      </patternFill>
    </fill>
  </fills>
  <borders count="5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rgb="FF00B050"/>
      </right>
      <top style="medium">
        <color rgb="FF00B050"/>
      </top>
      <bottom style="medium">
        <color rgb="FF00B05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uble">
        <color indexed="64"/>
      </top>
      <bottom style="double">
        <color indexed="64"/>
      </bottom>
      <diagonal/>
    </border>
  </borders>
  <cellStyleXfs count="1">
    <xf numFmtId="0" fontId="0" fillId="0" borderId="0"/>
  </cellStyleXfs>
  <cellXfs count="192">
    <xf numFmtId="0" fontId="0" fillId="0" borderId="0" xfId="0"/>
    <xf numFmtId="164" fontId="0" fillId="0" borderId="0" xfId="0" applyNumberFormat="1"/>
    <xf numFmtId="0" fontId="1" fillId="0" borderId="0" xfId="0" applyFont="1"/>
    <xf numFmtId="16" fontId="0" fillId="0" borderId="0" xfId="0" applyNumberFormat="1"/>
    <xf numFmtId="1" fontId="0" fillId="0" borderId="0" xfId="0" applyNumberFormat="1"/>
    <xf numFmtId="2" fontId="0" fillId="0" borderId="0" xfId="0" applyNumberFormat="1"/>
    <xf numFmtId="165" fontId="0" fillId="0" borderId="0" xfId="0" applyNumberFormat="1"/>
    <xf numFmtId="1" fontId="0" fillId="0" borderId="0" xfId="0" applyNumberFormat="1" applyAlignment="1">
      <alignment horizontal="right"/>
    </xf>
    <xf numFmtId="166" fontId="0" fillId="0" borderId="0" xfId="0" applyNumberFormat="1"/>
    <xf numFmtId="0" fontId="0" fillId="0" borderId="0" xfId="0" applyBorder="1"/>
    <xf numFmtId="0" fontId="0" fillId="0" borderId="0" xfId="0" applyAlignment="1">
      <alignment horizontal="right"/>
    </xf>
    <xf numFmtId="0" fontId="6" fillId="0" borderId="0" xfId="0" applyFont="1"/>
    <xf numFmtId="0" fontId="7" fillId="2" borderId="1" xfId="0" applyFont="1" applyFill="1" applyBorder="1"/>
    <xf numFmtId="0" fontId="7" fillId="2" borderId="2" xfId="0" applyFont="1" applyFill="1" applyBorder="1" applyAlignment="1">
      <alignment horizontal="center"/>
    </xf>
    <xf numFmtId="0" fontId="7" fillId="2" borderId="4" xfId="0" applyFont="1" applyFill="1" applyBorder="1"/>
    <xf numFmtId="0" fontId="7" fillId="2" borderId="0" xfId="0" applyFont="1" applyFill="1" applyBorder="1"/>
    <xf numFmtId="0" fontId="7" fillId="2" borderId="5" xfId="0" applyFont="1" applyFill="1" applyBorder="1"/>
    <xf numFmtId="2" fontId="7" fillId="2" borderId="0" xfId="0" applyNumberFormat="1" applyFont="1" applyFill="1" applyBorder="1"/>
    <xf numFmtId="2" fontId="7" fillId="2" borderId="5" xfId="0" applyNumberFormat="1" applyFont="1" applyFill="1" applyBorder="1"/>
    <xf numFmtId="0" fontId="7" fillId="2" borderId="6" xfId="0" applyFont="1" applyFill="1" applyBorder="1"/>
    <xf numFmtId="2" fontId="7" fillId="2" borderId="7" xfId="0" applyNumberFormat="1" applyFont="1" applyFill="1" applyBorder="1"/>
    <xf numFmtId="0" fontId="7" fillId="2" borderId="7" xfId="0" applyFont="1" applyFill="1" applyBorder="1"/>
    <xf numFmtId="0" fontId="7" fillId="2" borderId="8" xfId="0" applyFont="1" applyFill="1" applyBorder="1"/>
    <xf numFmtId="0" fontId="7" fillId="2" borderId="9" xfId="0" applyFont="1" applyFill="1" applyBorder="1"/>
    <xf numFmtId="0" fontId="7" fillId="2" borderId="10" xfId="0" applyFont="1" applyFill="1" applyBorder="1"/>
    <xf numFmtId="2" fontId="7" fillId="2" borderId="10" xfId="0" applyNumberFormat="1" applyFont="1" applyFill="1" applyBorder="1"/>
    <xf numFmtId="2" fontId="7" fillId="2" borderId="11" xfId="0" applyNumberFormat="1" applyFont="1" applyFill="1" applyBorder="1"/>
    <xf numFmtId="0" fontId="7" fillId="2" borderId="12" xfId="0" applyFont="1" applyFill="1" applyBorder="1"/>
    <xf numFmtId="0" fontId="7" fillId="2" borderId="14" xfId="0" applyFont="1" applyFill="1" applyBorder="1"/>
    <xf numFmtId="0" fontId="7" fillId="2" borderId="15" xfId="0" applyFont="1" applyFill="1" applyBorder="1"/>
    <xf numFmtId="0" fontId="7" fillId="2" borderId="16" xfId="0" applyFont="1" applyFill="1" applyBorder="1"/>
    <xf numFmtId="0" fontId="7" fillId="2" borderId="17" xfId="0" applyFont="1" applyFill="1" applyBorder="1"/>
    <xf numFmtId="0" fontId="7" fillId="2" borderId="18" xfId="0" applyFont="1" applyFill="1" applyBorder="1"/>
    <xf numFmtId="0" fontId="7" fillId="2" borderId="13" xfId="0" applyFont="1" applyFill="1" applyBorder="1" applyAlignment="1">
      <alignment horizontal="right"/>
    </xf>
    <xf numFmtId="0" fontId="7" fillId="2" borderId="0" xfId="0" applyFont="1" applyFill="1" applyBorder="1" applyAlignment="1">
      <alignment horizontal="right"/>
    </xf>
    <xf numFmtId="0" fontId="7" fillId="2" borderId="10" xfId="0" applyFont="1" applyFill="1" applyBorder="1" applyAlignment="1">
      <alignment horizontal="right"/>
    </xf>
    <xf numFmtId="0" fontId="8" fillId="0" borderId="1" xfId="0" applyFont="1" applyFill="1" applyBorder="1" applyAlignment="1" applyProtection="1">
      <alignment horizontal="left"/>
    </xf>
    <xf numFmtId="0" fontId="9" fillId="0" borderId="3" xfId="0" applyFont="1" applyBorder="1" applyAlignment="1" applyProtection="1">
      <alignment horizontal="center"/>
    </xf>
    <xf numFmtId="0" fontId="9" fillId="0" borderId="4" xfId="0" applyFont="1" applyBorder="1" applyProtection="1"/>
    <xf numFmtId="0" fontId="9" fillId="0" borderId="5" xfId="0" applyFont="1" applyBorder="1" applyAlignment="1" applyProtection="1">
      <alignment horizontal="center"/>
    </xf>
    <xf numFmtId="0" fontId="8" fillId="0" borderId="4" xfId="0" applyFont="1" applyFill="1" applyBorder="1" applyAlignment="1" applyProtection="1">
      <alignment horizontal="left"/>
    </xf>
    <xf numFmtId="0" fontId="8" fillId="0" borderId="4" xfId="0" applyFont="1" applyBorder="1" applyAlignment="1" applyProtection="1">
      <alignment horizontal="left"/>
    </xf>
    <xf numFmtId="0" fontId="8" fillId="0" borderId="6" xfId="0" applyFont="1" applyBorder="1" applyAlignment="1" applyProtection="1">
      <alignment horizontal="left"/>
    </xf>
    <xf numFmtId="0" fontId="9" fillId="0" borderId="8" xfId="0" applyFont="1" applyBorder="1" applyAlignment="1" applyProtection="1">
      <alignment horizontal="center"/>
    </xf>
    <xf numFmtId="0" fontId="8" fillId="0" borderId="0" xfId="0" applyFont="1" applyFill="1" applyBorder="1" applyAlignment="1" applyProtection="1">
      <alignment horizontal="left"/>
    </xf>
    <xf numFmtId="0" fontId="7" fillId="2" borderId="2" xfId="0" applyFont="1" applyFill="1" applyBorder="1" applyAlignment="1">
      <alignment horizontal="center"/>
    </xf>
    <xf numFmtId="0" fontId="7" fillId="2" borderId="0" xfId="0" applyFont="1" applyFill="1" applyBorder="1" applyAlignment="1">
      <alignment horizontal="center"/>
    </xf>
    <xf numFmtId="2" fontId="10" fillId="2" borderId="0" xfId="0" applyNumberFormat="1" applyFont="1" applyFill="1" applyBorder="1"/>
    <xf numFmtId="2" fontId="10" fillId="2" borderId="10" xfId="0" applyNumberFormat="1" applyFont="1" applyFill="1" applyBorder="1"/>
    <xf numFmtId="0" fontId="7" fillId="2" borderId="2" xfId="0" applyFont="1" applyFill="1" applyBorder="1" applyAlignment="1">
      <alignment horizontal="center"/>
    </xf>
    <xf numFmtId="0" fontId="0" fillId="3" borderId="0" xfId="0" applyFill="1"/>
    <xf numFmtId="2" fontId="0" fillId="3" borderId="0" xfId="0" applyNumberFormat="1" applyFill="1"/>
    <xf numFmtId="2" fontId="0" fillId="3" borderId="15" xfId="0" applyNumberFormat="1" applyFill="1" applyBorder="1"/>
    <xf numFmtId="2" fontId="0" fillId="3" borderId="0" xfId="0" applyNumberFormat="1" applyFill="1" applyBorder="1"/>
    <xf numFmtId="2" fontId="0" fillId="3" borderId="16" xfId="0" applyNumberFormat="1" applyFill="1" applyBorder="1"/>
    <xf numFmtId="0" fontId="0" fillId="3" borderId="15" xfId="0" applyFill="1" applyBorder="1"/>
    <xf numFmtId="0" fontId="0" fillId="3" borderId="0" xfId="0" applyFill="1" applyBorder="1"/>
    <xf numFmtId="0" fontId="0" fillId="3" borderId="16" xfId="0" applyFill="1" applyBorder="1"/>
    <xf numFmtId="0" fontId="0" fillId="3" borderId="0" xfId="0" applyFill="1" applyAlignment="1">
      <alignment horizontal="center"/>
    </xf>
    <xf numFmtId="0" fontId="7" fillId="4" borderId="15" xfId="0" applyFont="1" applyFill="1" applyBorder="1"/>
    <xf numFmtId="0" fontId="7" fillId="4" borderId="0" xfId="0" applyFont="1" applyFill="1" applyBorder="1" applyAlignment="1">
      <alignment horizontal="right"/>
    </xf>
    <xf numFmtId="0" fontId="7" fillId="4" borderId="0" xfId="0" applyFont="1" applyFill="1" applyBorder="1"/>
    <xf numFmtId="0" fontId="7" fillId="2" borderId="19" xfId="0" applyFont="1" applyFill="1" applyBorder="1"/>
    <xf numFmtId="0" fontId="7" fillId="2" borderId="20" xfId="0" applyFont="1" applyFill="1" applyBorder="1" applyAlignment="1">
      <alignment horizontal="right"/>
    </xf>
    <xf numFmtId="0" fontId="7" fillId="2" borderId="21" xfId="0" applyFont="1" applyFill="1" applyBorder="1"/>
    <xf numFmtId="0" fontId="0" fillId="3" borderId="10" xfId="0" applyFill="1" applyBorder="1" applyAlignment="1">
      <alignment horizontal="right"/>
    </xf>
    <xf numFmtId="0" fontId="0" fillId="3" borderId="17" xfId="0" applyFill="1" applyBorder="1" applyAlignment="1">
      <alignment horizontal="right"/>
    </xf>
    <xf numFmtId="0" fontId="0" fillId="3" borderId="18" xfId="0" applyFill="1" applyBorder="1" applyAlignment="1">
      <alignment horizontal="right"/>
    </xf>
    <xf numFmtId="0" fontId="0" fillId="0" borderId="0" xfId="0" applyAlignment="1">
      <alignment vertical="top" wrapText="1"/>
    </xf>
    <xf numFmtId="1" fontId="0" fillId="5" borderId="0" xfId="0" applyNumberFormat="1" applyFill="1"/>
    <xf numFmtId="0" fontId="11" fillId="0" borderId="0" xfId="0" applyFont="1"/>
    <xf numFmtId="0" fontId="0" fillId="5" borderId="0" xfId="0" applyFill="1"/>
    <xf numFmtId="2" fontId="0" fillId="5" borderId="0" xfId="0" applyNumberFormat="1" applyFill="1"/>
    <xf numFmtId="167" fontId="0" fillId="5" borderId="0" xfId="0" applyNumberFormat="1" applyFill="1"/>
    <xf numFmtId="0" fontId="7" fillId="5" borderId="13" xfId="0" applyFont="1" applyFill="1" applyBorder="1" applyAlignment="1">
      <alignment horizontal="center"/>
    </xf>
    <xf numFmtId="0" fontId="7" fillId="5" borderId="14" xfId="0" applyFont="1" applyFill="1" applyBorder="1" applyAlignment="1">
      <alignment horizontal="center"/>
    </xf>
    <xf numFmtId="2" fontId="0" fillId="5" borderId="0" xfId="0" applyNumberFormat="1" applyFill="1" applyBorder="1"/>
    <xf numFmtId="167" fontId="0" fillId="5" borderId="16" xfId="0" applyNumberFormat="1" applyFill="1" applyBorder="1"/>
    <xf numFmtId="2" fontId="0" fillId="5" borderId="10" xfId="0" applyNumberFormat="1" applyFill="1" applyBorder="1"/>
    <xf numFmtId="167" fontId="0" fillId="5" borderId="18" xfId="0" applyNumberFormat="1" applyFill="1" applyBorder="1"/>
    <xf numFmtId="0" fontId="7" fillId="5" borderId="22" xfId="0" applyFont="1" applyFill="1" applyBorder="1" applyAlignment="1">
      <alignment horizontal="center"/>
    </xf>
    <xf numFmtId="0" fontId="7" fillId="5" borderId="23" xfId="0" applyFont="1" applyFill="1" applyBorder="1"/>
    <xf numFmtId="2" fontId="0" fillId="5" borderId="23" xfId="0" applyNumberFormat="1" applyFill="1" applyBorder="1"/>
    <xf numFmtId="2" fontId="0" fillId="5" borderId="24" xfId="0" applyNumberFormat="1" applyFill="1" applyBorder="1"/>
    <xf numFmtId="0" fontId="7" fillId="5" borderId="0" xfId="0" applyFont="1" applyFill="1" applyBorder="1" applyAlignment="1">
      <alignment horizontal="left"/>
    </xf>
    <xf numFmtId="0" fontId="0" fillId="5" borderId="0" xfId="0" applyFill="1" applyBorder="1" applyAlignment="1">
      <alignment horizontal="right"/>
    </xf>
    <xf numFmtId="0" fontId="0" fillId="5" borderId="16" xfId="0" applyFill="1" applyBorder="1" applyAlignment="1">
      <alignment horizontal="right"/>
    </xf>
    <xf numFmtId="0" fontId="0" fillId="0" borderId="0" xfId="0" applyAlignment="1">
      <alignment wrapText="1"/>
    </xf>
    <xf numFmtId="0" fontId="0" fillId="0" borderId="0" xfId="0" applyAlignment="1">
      <alignment vertical="top"/>
    </xf>
    <xf numFmtId="2" fontId="12" fillId="2" borderId="0" xfId="0" applyNumberFormat="1" applyFont="1" applyFill="1" applyBorder="1"/>
    <xf numFmtId="0" fontId="13" fillId="6" borderId="0" xfId="0" applyFont="1" applyFill="1"/>
    <xf numFmtId="2" fontId="0" fillId="0" borderId="0" xfId="0" applyNumberFormat="1" applyAlignment="1">
      <alignment horizontal="right"/>
    </xf>
    <xf numFmtId="2" fontId="14" fillId="2" borderId="0" xfId="0" applyNumberFormat="1" applyFont="1" applyFill="1" applyBorder="1"/>
    <xf numFmtId="0" fontId="0" fillId="0" borderId="25" xfId="0" applyBorder="1"/>
    <xf numFmtId="0" fontId="0" fillId="7" borderId="25" xfId="0" applyFill="1" applyBorder="1"/>
    <xf numFmtId="0" fontId="0" fillId="0" borderId="26" xfId="0" applyFill="1" applyBorder="1"/>
    <xf numFmtId="0" fontId="0" fillId="0" borderId="25" xfId="0" applyBorder="1" applyAlignment="1">
      <alignment horizontal="right"/>
    </xf>
    <xf numFmtId="0" fontId="0" fillId="0" borderId="0" xfId="0" applyBorder="1" applyAlignment="1">
      <alignment horizontal="right"/>
    </xf>
    <xf numFmtId="0" fontId="0" fillId="0" borderId="25" xfId="0" applyFill="1" applyBorder="1"/>
    <xf numFmtId="0" fontId="0" fillId="9" borderId="25" xfId="0" applyFill="1" applyBorder="1"/>
    <xf numFmtId="0" fontId="0" fillId="0" borderId="25" xfId="0" applyBorder="1" applyAlignment="1">
      <alignment wrapText="1"/>
    </xf>
    <xf numFmtId="0" fontId="0" fillId="10" borderId="25" xfId="0" applyFill="1" applyBorder="1"/>
    <xf numFmtId="0" fontId="0" fillId="13" borderId="0" xfId="0" applyFill="1"/>
    <xf numFmtId="0" fontId="0" fillId="13" borderId="25" xfId="0" applyFill="1" applyBorder="1"/>
    <xf numFmtId="0" fontId="1" fillId="10" borderId="35" xfId="0" applyFont="1" applyFill="1" applyBorder="1"/>
    <xf numFmtId="0" fontId="16" fillId="14" borderId="36" xfId="0" applyFont="1" applyFill="1" applyBorder="1"/>
    <xf numFmtId="0" fontId="1" fillId="10" borderId="37" xfId="0" applyFont="1" applyFill="1" applyBorder="1"/>
    <xf numFmtId="0" fontId="1" fillId="10" borderId="37" xfId="0" applyFont="1" applyFill="1" applyBorder="1" applyAlignment="1">
      <alignment vertical="center"/>
    </xf>
    <xf numFmtId="0" fontId="0" fillId="0" borderId="0" xfId="0" applyBorder="1" applyAlignment="1">
      <alignment vertical="center" wrapText="1"/>
    </xf>
    <xf numFmtId="0" fontId="17" fillId="0" borderId="0" xfId="0" applyFont="1"/>
    <xf numFmtId="0" fontId="17" fillId="0" borderId="0" xfId="0" applyFont="1" applyBorder="1"/>
    <xf numFmtId="0" fontId="7" fillId="0" borderId="0" xfId="0" applyFont="1"/>
    <xf numFmtId="0" fontId="1" fillId="0" borderId="0" xfId="0" applyFont="1" applyFill="1" applyBorder="1"/>
    <xf numFmtId="0" fontId="16" fillId="0" borderId="0" xfId="0" applyFont="1" applyFill="1" applyBorder="1" applyAlignment="1">
      <alignment horizontal="center"/>
    </xf>
    <xf numFmtId="0" fontId="13" fillId="12" borderId="0" xfId="0" applyFont="1" applyFill="1"/>
    <xf numFmtId="0" fontId="0" fillId="12" borderId="0" xfId="0" applyFill="1"/>
    <xf numFmtId="166" fontId="16" fillId="7" borderId="25" xfId="0" applyNumberFormat="1" applyFont="1" applyFill="1" applyBorder="1" applyAlignment="1">
      <alignment horizontal="center"/>
    </xf>
    <xf numFmtId="0" fontId="15" fillId="0" borderId="29" xfId="0" applyFont="1" applyFill="1" applyBorder="1"/>
    <xf numFmtId="0" fontId="15" fillId="0" borderId="30" xfId="0" applyFont="1" applyFill="1" applyBorder="1" applyAlignment="1">
      <alignment horizontal="center"/>
    </xf>
    <xf numFmtId="0" fontId="15" fillId="0" borderId="31" xfId="0" applyFont="1" applyFill="1" applyBorder="1"/>
    <xf numFmtId="0" fontId="15" fillId="0" borderId="32" xfId="0" applyFont="1" applyFill="1" applyBorder="1" applyAlignment="1">
      <alignment horizontal="center"/>
    </xf>
    <xf numFmtId="0" fontId="15" fillId="0" borderId="33" xfId="0" applyFont="1" applyFill="1" applyBorder="1"/>
    <xf numFmtId="0" fontId="15" fillId="0" borderId="34" xfId="0" applyFont="1" applyFill="1" applyBorder="1" applyAlignment="1">
      <alignment horizontal="center"/>
    </xf>
    <xf numFmtId="0" fontId="16" fillId="0" borderId="25" xfId="0" applyFont="1" applyFill="1" applyBorder="1" applyAlignment="1">
      <alignment horizontal="center"/>
    </xf>
    <xf numFmtId="0" fontId="0" fillId="0" borderId="0" xfId="0" applyFill="1" applyBorder="1"/>
    <xf numFmtId="0" fontId="0" fillId="0" borderId="0" xfId="0" applyFill="1"/>
    <xf numFmtId="0" fontId="0" fillId="7" borderId="37" xfId="0" applyFill="1" applyBorder="1"/>
    <xf numFmtId="0" fontId="0" fillId="0" borderId="0" xfId="0" applyBorder="1" applyAlignment="1"/>
    <xf numFmtId="0" fontId="0" fillId="0" borderId="0" xfId="0" applyFill="1" applyBorder="1" applyAlignment="1">
      <alignment vertical="center" wrapText="1"/>
    </xf>
    <xf numFmtId="0" fontId="0" fillId="0" borderId="0" xfId="0" applyFill="1" applyBorder="1" applyAlignment="1"/>
    <xf numFmtId="0" fontId="0" fillId="0" borderId="5" xfId="0" applyFill="1" applyBorder="1"/>
    <xf numFmtId="2" fontId="0" fillId="7" borderId="0" xfId="0" applyNumberFormat="1" applyFill="1"/>
    <xf numFmtId="166" fontId="0" fillId="7" borderId="0" xfId="0" applyNumberFormat="1" applyFill="1"/>
    <xf numFmtId="2" fontId="0" fillId="7" borderId="25" xfId="0" applyNumberFormat="1" applyFill="1" applyBorder="1"/>
    <xf numFmtId="0" fontId="0" fillId="0" borderId="28" xfId="0" applyFill="1" applyBorder="1" applyAlignment="1"/>
    <xf numFmtId="1" fontId="0" fillId="0" borderId="6" xfId="0" applyNumberFormat="1" applyFill="1" applyBorder="1" applyAlignment="1"/>
    <xf numFmtId="166" fontId="0" fillId="0" borderId="8" xfId="0" applyNumberFormat="1" applyFill="1" applyBorder="1" applyAlignment="1"/>
    <xf numFmtId="0" fontId="0" fillId="0" borderId="39" xfId="0" applyFill="1" applyBorder="1"/>
    <xf numFmtId="1" fontId="0" fillId="0" borderId="40" xfId="0" applyNumberFormat="1" applyFill="1" applyBorder="1" applyAlignment="1"/>
    <xf numFmtId="166" fontId="0" fillId="0" borderId="41" xfId="0" applyNumberFormat="1" applyFill="1" applyBorder="1" applyAlignment="1"/>
    <xf numFmtId="0" fontId="0" fillId="0" borderId="42" xfId="0" applyFill="1" applyBorder="1" applyAlignment="1"/>
    <xf numFmtId="1" fontId="0" fillId="0" borderId="43" xfId="0" applyNumberFormat="1" applyFill="1" applyBorder="1" applyAlignment="1"/>
    <xf numFmtId="166" fontId="0" fillId="0" borderId="44" xfId="0" applyNumberFormat="1" applyFill="1" applyBorder="1" applyAlignment="1"/>
    <xf numFmtId="0" fontId="0" fillId="0" borderId="45" xfId="0" applyFill="1" applyBorder="1"/>
    <xf numFmtId="1" fontId="0" fillId="0" borderId="46" xfId="0" applyNumberFormat="1" applyFill="1" applyBorder="1" applyAlignment="1"/>
    <xf numFmtId="166" fontId="0" fillId="0" borderId="47" xfId="0" applyNumberFormat="1" applyFill="1" applyBorder="1" applyAlignment="1"/>
    <xf numFmtId="0" fontId="0" fillId="0" borderId="48" xfId="0" applyFill="1" applyBorder="1" applyAlignment="1"/>
    <xf numFmtId="1" fontId="0" fillId="0" borderId="49" xfId="0" applyNumberFormat="1" applyFill="1" applyBorder="1" applyAlignment="1"/>
    <xf numFmtId="166" fontId="0" fillId="0" borderId="50" xfId="0" applyNumberFormat="1" applyFill="1" applyBorder="1" applyAlignment="1"/>
    <xf numFmtId="0" fontId="0" fillId="0" borderId="38" xfId="0" applyFill="1" applyBorder="1" applyAlignment="1"/>
    <xf numFmtId="0" fontId="11" fillId="0" borderId="0" xfId="0" applyFont="1" applyFill="1" applyAlignment="1"/>
    <xf numFmtId="166" fontId="0" fillId="0" borderId="37" xfId="0" applyNumberFormat="1" applyFill="1" applyBorder="1" applyAlignment="1"/>
    <xf numFmtId="0" fontId="7" fillId="2" borderId="2" xfId="0" quotePrefix="1"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0" fillId="11" borderId="25" xfId="0" applyFill="1" applyBorder="1" applyAlignment="1">
      <alignment horizontal="center"/>
    </xf>
    <xf numFmtId="0" fontId="0" fillId="8" borderId="25" xfId="0" applyFill="1" applyBorder="1" applyAlignment="1">
      <alignment horizontal="center"/>
    </xf>
    <xf numFmtId="0" fontId="0" fillId="10" borderId="0" xfId="0" applyFill="1" applyAlignment="1">
      <alignment horizontal="right"/>
    </xf>
    <xf numFmtId="0" fontId="0" fillId="8" borderId="6" xfId="0" applyFill="1" applyBorder="1" applyAlignment="1">
      <alignment horizontal="center"/>
    </xf>
    <xf numFmtId="0" fontId="0" fillId="8" borderId="7" xfId="0" applyFill="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8" borderId="4" xfId="0" applyFill="1" applyBorder="1" applyAlignment="1">
      <alignment horizontal="center"/>
    </xf>
    <xf numFmtId="0" fontId="0" fillId="8" borderId="0" xfId="0" applyFill="1" applyBorder="1" applyAlignment="1">
      <alignment horizontal="center"/>
    </xf>
    <xf numFmtId="0" fontId="0" fillId="0" borderId="0" xfId="0" applyAlignment="1">
      <alignment horizontal="right"/>
    </xf>
    <xf numFmtId="0" fontId="18" fillId="0" borderId="0" xfId="0" applyFont="1" applyBorder="1" applyAlignment="1">
      <alignment horizontal="center"/>
    </xf>
    <xf numFmtId="0" fontId="18" fillId="0" borderId="10" xfId="0" applyFont="1" applyBorder="1" applyAlignment="1">
      <alignment horizontal="center"/>
    </xf>
    <xf numFmtId="0" fontId="1" fillId="10" borderId="25" xfId="0" applyFont="1" applyFill="1" applyBorder="1" applyAlignment="1">
      <alignment horizontal="center" vertical="center" wrapText="1"/>
    </xf>
    <xf numFmtId="0" fontId="19" fillId="8" borderId="27" xfId="0" applyFont="1" applyFill="1" applyBorder="1" applyAlignment="1">
      <alignment horizontal="center"/>
    </xf>
    <xf numFmtId="0" fontId="19" fillId="8" borderId="28" xfId="0" applyFont="1" applyFill="1" applyBorder="1" applyAlignment="1">
      <alignment horizontal="center"/>
    </xf>
    <xf numFmtId="0" fontId="19" fillId="8" borderId="27" xfId="0" applyFont="1" applyFill="1" applyBorder="1" applyAlignment="1">
      <alignment horizontal="center" wrapText="1"/>
    </xf>
    <xf numFmtId="0" fontId="19" fillId="8" borderId="28" xfId="0" applyFont="1" applyFill="1" applyBorder="1" applyAlignment="1">
      <alignment horizontal="center" wrapText="1"/>
    </xf>
    <xf numFmtId="0" fontId="0" fillId="0" borderId="25" xfId="0" applyBorder="1" applyAlignment="1">
      <alignment horizontal="left" vertical="center" wrapText="1"/>
    </xf>
    <xf numFmtId="0" fontId="0" fillId="10" borderId="25" xfId="0" applyFill="1" applyBorder="1" applyAlignment="1">
      <alignment horizontal="left" vertical="center"/>
    </xf>
    <xf numFmtId="0" fontId="0" fillId="0" borderId="43" xfId="0" applyFill="1" applyBorder="1" applyAlignment="1">
      <alignment horizontal="center"/>
    </xf>
    <xf numFmtId="0" fontId="0" fillId="0" borderId="51" xfId="0" applyFill="1" applyBorder="1" applyAlignment="1">
      <alignment horizontal="center"/>
    </xf>
    <xf numFmtId="0" fontId="0" fillId="0" borderId="44" xfId="0" applyFill="1" applyBorder="1" applyAlignment="1">
      <alignment horizontal="center"/>
    </xf>
    <xf numFmtId="0" fontId="1" fillId="10" borderId="1"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0" fillId="10" borderId="25" xfId="0" applyFill="1" applyBorder="1" applyAlignment="1">
      <alignment horizontal="left" vertical="center" wrapText="1"/>
    </xf>
    <xf numFmtId="0" fontId="11" fillId="10" borderId="0" xfId="0" applyFont="1" applyFill="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3" borderId="15" xfId="0" applyFill="1"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7" fillId="2" borderId="13" xfId="0" quotePrefix="1" applyFont="1" applyFill="1" applyBorder="1" applyAlignment="1">
      <alignment horizontal="center"/>
    </xf>
    <xf numFmtId="0" fontId="7" fillId="2" borderId="1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microsoft.com/office/2006/relationships/vbaProject" Target="vbaProject.bin"/><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r:id="rId1"/>
</file>

<file path=xl/activeX/activeX10.xml><?xml version="1.0" encoding="utf-8"?>
<ax:ocx xmlns:ax="http://schemas.microsoft.com/office/2006/activeX" xmlns:r="http://schemas.openxmlformats.org/officeDocument/2006/relationships" ax:classid="{D7053240-CE69-11CD-A777-00DD01143C57}" r:id="rId1"/>
</file>

<file path=xl/activeX/activeX11.xml><?xml version="1.0" encoding="utf-8"?>
<ax:ocx xmlns:ax="http://schemas.microsoft.com/office/2006/activeX" xmlns:r="http://schemas.openxmlformats.org/officeDocument/2006/relationships" ax:classid="{D7053240-CE69-11CD-A777-00DD01143C57}" r:id="rId1"/>
</file>

<file path=xl/activeX/activeX12.xml><?xml version="1.0" encoding="utf-8"?>
<ax:ocx xmlns:ax="http://schemas.microsoft.com/office/2006/activeX" xmlns:r="http://schemas.openxmlformats.org/officeDocument/2006/relationships" ax:classid="{D7053240-CE69-11CD-A777-00DD01143C57}" r:id="rId1"/>
</file>

<file path=xl/activeX/activeX13.xml><?xml version="1.0" encoding="utf-8"?>
<ax:ocx xmlns:ax="http://schemas.microsoft.com/office/2006/activeX" xmlns:r="http://schemas.openxmlformats.org/officeDocument/2006/relationships" ax:classid="{978C9E23-D4B0-11CE-BF2D-00AA003F40D0}" r:id="rId1"/>
</file>

<file path=xl/activeX/activeX14.xml><?xml version="1.0" encoding="utf-8"?>
<ax:ocx xmlns:ax="http://schemas.microsoft.com/office/2006/activeX" xmlns:r="http://schemas.openxmlformats.org/officeDocument/2006/relationships" ax:classid="{8BD21D10-EC42-11CE-9E0D-00AA006002F3}" r:id="rId1"/>
</file>

<file path=xl/activeX/activeX15.xml><?xml version="1.0" encoding="utf-8"?>
<ax:ocx xmlns:ax="http://schemas.microsoft.com/office/2006/activeX" xmlns:r="http://schemas.openxmlformats.org/officeDocument/2006/relationships" ax:classid="{8BD21D10-EC42-11CE-9E0D-00AA006002F3}" r:id="rId1"/>
</file>

<file path=xl/activeX/activeX16.xml><?xml version="1.0" encoding="utf-8"?>
<ax:ocx xmlns:ax="http://schemas.microsoft.com/office/2006/activeX" xmlns:r="http://schemas.openxmlformats.org/officeDocument/2006/relationships" ax:classid="{8BD21D10-EC42-11CE-9E0D-00AA006002F3}" r:id="rId1"/>
</file>

<file path=xl/activeX/activeX17.xml><?xml version="1.0" encoding="utf-8"?>
<ax:ocx xmlns:ax="http://schemas.microsoft.com/office/2006/activeX" xmlns:r="http://schemas.openxmlformats.org/officeDocument/2006/relationships" ax:classid="{978C9E23-D4B0-11CE-BF2D-00AA003F40D0}" r:id="rId1"/>
</file>

<file path=xl/activeX/activeX18.xml><?xml version="1.0" encoding="utf-8"?>
<ax:ocx xmlns:ax="http://schemas.microsoft.com/office/2006/activeX" xmlns:r="http://schemas.openxmlformats.org/officeDocument/2006/relationships" ax:classid="{978C9E23-D4B0-11CE-BF2D-00AA003F40D0}" r:id="rId1"/>
</file>

<file path=xl/activeX/activeX19.xml><?xml version="1.0" encoding="utf-8"?>
<ax:ocx xmlns:ax="http://schemas.microsoft.com/office/2006/activeX" xmlns:r="http://schemas.openxmlformats.org/officeDocument/2006/relationships" ax:classid="{978C9E23-D4B0-11CE-BF2D-00AA003F40D0}" r:id="rId1"/>
</file>

<file path=xl/activeX/activeX2.xml><?xml version="1.0" encoding="utf-8"?>
<ax:ocx xmlns:ax="http://schemas.microsoft.com/office/2006/activeX" xmlns:r="http://schemas.openxmlformats.org/officeDocument/2006/relationships" ax:classid="{D7053240-CE69-11CD-A777-00DD01143C57}" r:id="rId1"/>
</file>

<file path=xl/activeX/activeX20.xml><?xml version="1.0" encoding="utf-8"?>
<ax:ocx xmlns:ax="http://schemas.microsoft.com/office/2006/activeX" xmlns:r="http://schemas.openxmlformats.org/officeDocument/2006/relationships" ax:classid="{79176FB0-B7F2-11CE-97EF-00AA006D2776}" r:id="rId1"/>
</file>

<file path=xl/activeX/activeX21.xml><?xml version="1.0" encoding="utf-8"?>
<ax:ocx xmlns:ax="http://schemas.microsoft.com/office/2006/activeX" xmlns:r="http://schemas.openxmlformats.org/officeDocument/2006/relationships" ax:classid="{79176FB0-B7F2-11CE-97EF-00AA006D2776}" r:id="rId1"/>
</file>

<file path=xl/activeX/activeX22.xml><?xml version="1.0" encoding="utf-8"?>
<ax:ocx xmlns:ax="http://schemas.microsoft.com/office/2006/activeX" xmlns:r="http://schemas.openxmlformats.org/officeDocument/2006/relationships" ax:classid="{79176FB0-B7F2-11CE-97EF-00AA006D2776}" r:id="rId1"/>
</file>

<file path=xl/activeX/activeX23.xml><?xml version="1.0" encoding="utf-8"?>
<ax:ocx xmlns:ax="http://schemas.microsoft.com/office/2006/activeX" xmlns:r="http://schemas.openxmlformats.org/officeDocument/2006/relationships" ax:classid="{8BD21D20-EC42-11CE-9E0D-00AA006002F3}" r:id="rId1"/>
</file>

<file path=xl/activeX/activeX24.xml><?xml version="1.0" encoding="utf-8"?>
<ax:ocx xmlns:ax="http://schemas.microsoft.com/office/2006/activeX" xmlns:r="http://schemas.openxmlformats.org/officeDocument/2006/relationships" ax:classid="{8BD21D20-EC42-11CE-9E0D-00AA006002F3}" r:id="rId1"/>
</file>

<file path=xl/activeX/activeX25.xml><?xml version="1.0" encoding="utf-8"?>
<ax:ocx xmlns:ax="http://schemas.microsoft.com/office/2006/activeX" xmlns:r="http://schemas.openxmlformats.org/officeDocument/2006/relationships" ax:classid="{8BD21D20-EC42-11CE-9E0D-00AA006002F3}" r:id="rId1"/>
</file>

<file path=xl/activeX/activeX26.xml><?xml version="1.0" encoding="utf-8"?>
<ax:ocx xmlns:ax="http://schemas.microsoft.com/office/2006/activeX" xmlns:r="http://schemas.openxmlformats.org/officeDocument/2006/relationships" ax:classid="{978C9E23-D4B0-11CE-BF2D-00AA003F40D0}" r:id="rId1"/>
</file>

<file path=xl/activeX/activeX27.xml><?xml version="1.0" encoding="utf-8"?>
<ax:ocx xmlns:ax="http://schemas.microsoft.com/office/2006/activeX" xmlns:r="http://schemas.openxmlformats.org/officeDocument/2006/relationships" ax:classid="{978C9E23-D4B0-11CE-BF2D-00AA003F40D0}" r:id="rId1"/>
</file>

<file path=xl/activeX/activeX28.xml><?xml version="1.0" encoding="utf-8"?>
<ax:ocx xmlns:ax="http://schemas.microsoft.com/office/2006/activeX" xmlns:r="http://schemas.openxmlformats.org/officeDocument/2006/relationships" ax:classid="{978C9E23-D4B0-11CE-BF2D-00AA003F40D0}" r:id="rId1"/>
</file>

<file path=xl/activeX/activeX29.xml><?xml version="1.0" encoding="utf-8"?>
<ax:ocx xmlns:ax="http://schemas.microsoft.com/office/2006/activeX" xmlns:r="http://schemas.openxmlformats.org/officeDocument/2006/relationships" ax:classid="{8BD21D20-EC42-11CE-9E0D-00AA006002F3}" r:id="rId1"/>
</file>

<file path=xl/activeX/activeX3.xml><?xml version="1.0" encoding="utf-8"?>
<ax:ocx xmlns:ax="http://schemas.microsoft.com/office/2006/activeX" xmlns:r="http://schemas.openxmlformats.org/officeDocument/2006/relationships" ax:classid="{D7053240-CE69-11CD-A777-00DD01143C57}" r:id="rId1"/>
</file>

<file path=xl/activeX/activeX30.xml><?xml version="1.0" encoding="utf-8"?>
<ax:ocx xmlns:ax="http://schemas.microsoft.com/office/2006/activeX" xmlns:r="http://schemas.openxmlformats.org/officeDocument/2006/relationships" ax:classid="{8BD21D20-EC42-11CE-9E0D-00AA006002F3}" r:id="rId1"/>
</file>

<file path=xl/activeX/activeX31.xml><?xml version="1.0" encoding="utf-8"?>
<ax:ocx xmlns:ax="http://schemas.microsoft.com/office/2006/activeX" xmlns:r="http://schemas.openxmlformats.org/officeDocument/2006/relationships" ax:classid="{8BD21D20-EC42-11CE-9E0D-00AA006002F3}" r:id="rId1"/>
</file>

<file path=xl/activeX/activeX32.xml><?xml version="1.0" encoding="utf-8"?>
<ax:ocx xmlns:ax="http://schemas.microsoft.com/office/2006/activeX" xmlns:r="http://schemas.openxmlformats.org/officeDocument/2006/relationships" ax:classid="{8BD21D40-EC42-11CE-9E0D-00AA006002F3}" r:id="rId1"/>
</file>

<file path=xl/activeX/activeX33.xml><?xml version="1.0" encoding="utf-8"?>
<ax:ocx xmlns:ax="http://schemas.microsoft.com/office/2006/activeX" xmlns:r="http://schemas.openxmlformats.org/officeDocument/2006/relationships" ax:classid="{8BD21D40-EC42-11CE-9E0D-00AA006002F3}" r:id="rId1"/>
</file>

<file path=xl/activeX/activeX34.xml><?xml version="1.0" encoding="utf-8"?>
<ax:ocx xmlns:ax="http://schemas.microsoft.com/office/2006/activeX" xmlns:r="http://schemas.openxmlformats.org/officeDocument/2006/relationships" ax:classid="{8BD21D40-EC42-11CE-9E0D-00AA006002F3}" r:id="rId1"/>
</file>

<file path=xl/activeX/activeX35.xml><?xml version="1.0" encoding="utf-8"?>
<ax:ocx xmlns:ax="http://schemas.microsoft.com/office/2006/activeX" xmlns:r="http://schemas.openxmlformats.org/officeDocument/2006/relationships" ax:classid="{8BD21D20-EC42-11CE-9E0D-00AA006002F3}" r:id="rId1"/>
</file>

<file path=xl/activeX/activeX36.xml><?xml version="1.0" encoding="utf-8"?>
<ax:ocx xmlns:ax="http://schemas.microsoft.com/office/2006/activeX" xmlns:r="http://schemas.openxmlformats.org/officeDocument/2006/relationships" ax:classid="{8BD21D20-EC42-11CE-9E0D-00AA006002F3}" r:id="rId1"/>
</file>

<file path=xl/activeX/activeX37.xml><?xml version="1.0" encoding="utf-8"?>
<ax:ocx xmlns:ax="http://schemas.microsoft.com/office/2006/activeX" xmlns:r="http://schemas.openxmlformats.org/officeDocument/2006/relationships" ax:classid="{8BD21D20-EC42-11CE-9E0D-00AA006002F3}" r:id="rId1"/>
</file>

<file path=xl/activeX/activeX38.xml><?xml version="1.0" encoding="utf-8"?>
<ax:ocx xmlns:ax="http://schemas.microsoft.com/office/2006/activeX" xmlns:r="http://schemas.openxmlformats.org/officeDocument/2006/relationships" ax:classid="{8BD21D20-EC42-11CE-9E0D-00AA006002F3}" r:id="rId1"/>
</file>

<file path=xl/activeX/activeX39.xml><?xml version="1.0" encoding="utf-8"?>
<ax:ocx xmlns:ax="http://schemas.microsoft.com/office/2006/activeX" xmlns:r="http://schemas.openxmlformats.org/officeDocument/2006/relationships" ax:classid="{8BD21D10-EC42-11CE-9E0D-00AA006002F3}" r:id="rId1"/>
</file>

<file path=xl/activeX/activeX4.xml><?xml version="1.0" encoding="utf-8"?>
<ax:ocx xmlns:ax="http://schemas.microsoft.com/office/2006/activeX" xmlns:r="http://schemas.openxmlformats.org/officeDocument/2006/relationships" ax:classid="{978C9E23-D4B0-11CE-BF2D-00AA003F40D0}" r:id="rId1"/>
</file>

<file path=xl/activeX/activeX40.xml><?xml version="1.0" encoding="utf-8"?>
<ax:ocx xmlns:ax="http://schemas.microsoft.com/office/2006/activeX" xmlns:r="http://schemas.openxmlformats.org/officeDocument/2006/relationships" ax:classid="{8BD21D10-EC42-11CE-9E0D-00AA006002F3}" r:id="rId1"/>
</file>

<file path=xl/activeX/activeX41.xml><?xml version="1.0" encoding="utf-8"?>
<ax:ocx xmlns:ax="http://schemas.microsoft.com/office/2006/activeX" xmlns:r="http://schemas.openxmlformats.org/officeDocument/2006/relationships" ax:classid="{8BD21D10-EC42-11CE-9E0D-00AA006002F3}" r:id="rId1"/>
</file>

<file path=xl/activeX/activeX42.xml><?xml version="1.0" encoding="utf-8"?>
<ax:ocx xmlns:ax="http://schemas.microsoft.com/office/2006/activeX" xmlns:r="http://schemas.openxmlformats.org/officeDocument/2006/relationships" ax:classid="{D7053240-CE69-11CD-A777-00DD01143C57}" r:id="rId1"/>
</file>

<file path=xl/activeX/activeX43.xml><?xml version="1.0" encoding="utf-8"?>
<ax:ocx xmlns:ax="http://schemas.microsoft.com/office/2006/activeX" xmlns:r="http://schemas.openxmlformats.org/officeDocument/2006/relationships" ax:classid="{8BD21D40-EC42-11CE-9E0D-00AA006002F3}" r:id="rId1"/>
</file>

<file path=xl/activeX/activeX44.xml><?xml version="1.0" encoding="utf-8"?>
<ax:ocx xmlns:ax="http://schemas.microsoft.com/office/2006/activeX" xmlns:r="http://schemas.openxmlformats.org/officeDocument/2006/relationships" ax:classid="{8BD21D40-EC42-11CE-9E0D-00AA006002F3}" r:id="rId1"/>
</file>

<file path=xl/activeX/activeX45.xml><?xml version="1.0" encoding="utf-8"?>
<ax:ocx xmlns:ax="http://schemas.microsoft.com/office/2006/activeX" xmlns:r="http://schemas.openxmlformats.org/officeDocument/2006/relationships" ax:classid="{D7053240-CE69-11CD-A777-00DD01143C57}" r:id="rId1"/>
</file>

<file path=xl/activeX/activeX46.xml><?xml version="1.0" encoding="utf-8"?>
<ax:ocx xmlns:ax="http://schemas.microsoft.com/office/2006/activeX" xmlns:r="http://schemas.openxmlformats.org/officeDocument/2006/relationships" ax:classid="{978C9E23-D4B0-11CE-BF2D-00AA003F40D0}" r:id="rId1"/>
</file>

<file path=xl/activeX/activeX47.xml><?xml version="1.0" encoding="utf-8"?>
<ax:ocx xmlns:ax="http://schemas.microsoft.com/office/2006/activeX" xmlns:r="http://schemas.openxmlformats.org/officeDocument/2006/relationships" ax:classid="{978C9E23-D4B0-11CE-BF2D-00AA003F40D0}" r:id="rId1"/>
</file>

<file path=xl/activeX/activeX48.xml><?xml version="1.0" encoding="utf-8"?>
<ax:ocx xmlns:ax="http://schemas.microsoft.com/office/2006/activeX" xmlns:r="http://schemas.openxmlformats.org/officeDocument/2006/relationships" ax:classid="{978C9E23-D4B0-11CE-BF2D-00AA003F40D0}" r:id="rId1"/>
</file>

<file path=xl/activeX/activeX49.xml><?xml version="1.0" encoding="utf-8"?>
<ax:ocx xmlns:ax="http://schemas.microsoft.com/office/2006/activeX" xmlns:r="http://schemas.openxmlformats.org/officeDocument/2006/relationships" ax:classid="{978C9E23-D4B0-11CE-BF2D-00AA003F40D0}" r:id="rId1"/>
</file>

<file path=xl/activeX/activeX5.xml><?xml version="1.0" encoding="utf-8"?>
<ax:ocx xmlns:ax="http://schemas.microsoft.com/office/2006/activeX" xmlns:r="http://schemas.openxmlformats.org/officeDocument/2006/relationships" ax:classid="{D7053240-CE69-11CD-A777-00DD01143C57}" r:id="rId1"/>
</file>

<file path=xl/activeX/activeX50.xml><?xml version="1.0" encoding="utf-8"?>
<ax:ocx xmlns:ax="http://schemas.microsoft.com/office/2006/activeX" xmlns:r="http://schemas.openxmlformats.org/officeDocument/2006/relationships" ax:classid="{8BD21D40-EC42-11CE-9E0D-00AA006002F3}" r:id="rId1"/>
</file>

<file path=xl/activeX/activeX51.xml><?xml version="1.0" encoding="utf-8"?>
<ax:ocx xmlns:ax="http://schemas.microsoft.com/office/2006/activeX" xmlns:r="http://schemas.openxmlformats.org/officeDocument/2006/relationships" ax:classid="{8BD21D40-EC42-11CE-9E0D-00AA006002F3}" r:id="rId1"/>
</file>

<file path=xl/activeX/activeX52.xml><?xml version="1.0" encoding="utf-8"?>
<ax:ocx xmlns:ax="http://schemas.microsoft.com/office/2006/activeX" xmlns:r="http://schemas.openxmlformats.org/officeDocument/2006/relationships" ax:classid="{8BD21D40-EC42-11CE-9E0D-00AA006002F3}" r:id="rId1"/>
</file>

<file path=xl/activeX/activeX53.xml><?xml version="1.0" encoding="utf-8"?>
<ax:ocx xmlns:ax="http://schemas.microsoft.com/office/2006/activeX" xmlns:r="http://schemas.openxmlformats.org/officeDocument/2006/relationships" ax:classid="{8BD21D40-EC42-11CE-9E0D-00AA006002F3}" r:id="rId1"/>
</file>

<file path=xl/activeX/activeX54.xml><?xml version="1.0" encoding="utf-8"?>
<ax:ocx xmlns:ax="http://schemas.microsoft.com/office/2006/activeX" xmlns:r="http://schemas.openxmlformats.org/officeDocument/2006/relationships" ax:classid="{978C9E23-D4B0-11CE-BF2D-00AA003F40D0}" r:id="rId1"/>
</file>

<file path=xl/activeX/activeX55.xml><?xml version="1.0" encoding="utf-8"?>
<ax:ocx xmlns:ax="http://schemas.microsoft.com/office/2006/activeX" xmlns:r="http://schemas.openxmlformats.org/officeDocument/2006/relationships" ax:classid="{8BD21D10-EC42-11CE-9E0D-00AA006002F3}" r:id="rId1"/>
</file>

<file path=xl/activeX/activeX56.xml><?xml version="1.0" encoding="utf-8"?>
<ax:ocx xmlns:ax="http://schemas.microsoft.com/office/2006/activeX" xmlns:r="http://schemas.openxmlformats.org/officeDocument/2006/relationships" ax:classid="{8BD21D20-EC42-11CE-9E0D-00AA006002F3}" r:id="rId1"/>
</file>

<file path=xl/activeX/activeX57.xml><?xml version="1.0" encoding="utf-8"?>
<ax:ocx xmlns:ax="http://schemas.microsoft.com/office/2006/activeX" xmlns:r="http://schemas.openxmlformats.org/officeDocument/2006/relationships" ax:classid="{8BD21D20-EC42-11CE-9E0D-00AA006002F3}" r:id="rId1"/>
</file>

<file path=xl/activeX/activeX58.xml><?xml version="1.0" encoding="utf-8"?>
<ax:ocx xmlns:ax="http://schemas.microsoft.com/office/2006/activeX" xmlns:r="http://schemas.openxmlformats.org/officeDocument/2006/relationships" ax:classid="{8BD21D20-EC42-11CE-9E0D-00AA006002F3}" r:id="rId1"/>
</file>

<file path=xl/activeX/activeX59.xml><?xml version="1.0" encoding="utf-8"?>
<ax:ocx xmlns:ax="http://schemas.microsoft.com/office/2006/activeX" xmlns:r="http://schemas.openxmlformats.org/officeDocument/2006/relationships" ax:classid="{8BD21D20-EC42-11CE-9E0D-00AA006002F3}" r:id="rId1"/>
</file>

<file path=xl/activeX/activeX6.xml><?xml version="1.0" encoding="utf-8"?>
<ax:ocx xmlns:ax="http://schemas.microsoft.com/office/2006/activeX" xmlns:r="http://schemas.openxmlformats.org/officeDocument/2006/relationships" ax:classid="{D7053240-CE69-11CD-A777-00DD01143C57}" r:id="rId1"/>
</file>

<file path=xl/activeX/activeX60.xml><?xml version="1.0" encoding="utf-8"?>
<ax:ocx xmlns:ax="http://schemas.microsoft.com/office/2006/activeX" xmlns:r="http://schemas.openxmlformats.org/officeDocument/2006/relationships" ax:classid="{8BD21D10-EC42-11CE-9E0D-00AA006002F3}" r:id="rId1"/>
</file>

<file path=xl/activeX/activeX61.xml><?xml version="1.0" encoding="utf-8"?>
<ax:ocx xmlns:ax="http://schemas.microsoft.com/office/2006/activeX" xmlns:r="http://schemas.openxmlformats.org/officeDocument/2006/relationships" ax:classid="{8BD21D10-EC42-11CE-9E0D-00AA006002F3}" r:id="rId1"/>
</file>

<file path=xl/activeX/activeX62.xml><?xml version="1.0" encoding="utf-8"?>
<ax:ocx xmlns:ax="http://schemas.microsoft.com/office/2006/activeX" xmlns:r="http://schemas.openxmlformats.org/officeDocument/2006/relationships" ax:classid="{8BD21D10-EC42-11CE-9E0D-00AA006002F3}" r:id="rId1"/>
</file>

<file path=xl/activeX/activeX63.xml><?xml version="1.0" encoding="utf-8"?>
<ax:ocx xmlns:ax="http://schemas.microsoft.com/office/2006/activeX" xmlns:r="http://schemas.openxmlformats.org/officeDocument/2006/relationships" ax:classid="{D7053240-CE69-11CD-A777-00DD01143C57}" r:id="rId1"/>
</file>

<file path=xl/activeX/activeX64.xml><?xml version="1.0" encoding="utf-8"?>
<ax:ocx xmlns:ax="http://schemas.microsoft.com/office/2006/activeX" xmlns:r="http://schemas.openxmlformats.org/officeDocument/2006/relationships" ax:classid="{D7053240-CE69-11CD-A777-00DD01143C57}" r:id="rId1"/>
</file>

<file path=xl/activeX/activeX65.xml><?xml version="1.0" encoding="utf-8"?>
<ax:ocx xmlns:ax="http://schemas.microsoft.com/office/2006/activeX" xmlns:r="http://schemas.openxmlformats.org/officeDocument/2006/relationships" ax:classid="{978C9E23-D4B0-11CE-BF2D-00AA003F40D0}" r:id="rId1"/>
</file>

<file path=xl/activeX/activeX66.xml><?xml version="1.0" encoding="utf-8"?>
<ax:ocx xmlns:ax="http://schemas.microsoft.com/office/2006/activeX" xmlns:r="http://schemas.openxmlformats.org/officeDocument/2006/relationships" ax:classid="{8BD21D20-EC42-11CE-9E0D-00AA006002F3}" r:id="rId1"/>
</file>

<file path=xl/activeX/activeX67.xml><?xml version="1.0" encoding="utf-8"?>
<ax:ocx xmlns:ax="http://schemas.microsoft.com/office/2006/activeX" xmlns:r="http://schemas.openxmlformats.org/officeDocument/2006/relationships" ax:classid="{978C9E23-D4B0-11CE-BF2D-00AA003F40D0}" r:id="rId1"/>
</file>

<file path=xl/activeX/activeX68.xml><?xml version="1.0" encoding="utf-8"?>
<ax:ocx xmlns:ax="http://schemas.microsoft.com/office/2006/activeX" xmlns:r="http://schemas.openxmlformats.org/officeDocument/2006/relationships" ax:classid="{8BD21D10-EC42-11CE-9E0D-00AA006002F3}" r:id="rId1"/>
</file>

<file path=xl/activeX/activeX69.xml><?xml version="1.0" encoding="utf-8"?>
<ax:ocx xmlns:ax="http://schemas.microsoft.com/office/2006/activeX" xmlns:r="http://schemas.openxmlformats.org/officeDocument/2006/relationships" ax:classid="{8BD21D40-EC42-11CE-9E0D-00AA006002F3}" r:id="rId1"/>
</file>

<file path=xl/activeX/activeX7.xml><?xml version="1.0" encoding="utf-8"?>
<ax:ocx xmlns:ax="http://schemas.microsoft.com/office/2006/activeX" xmlns:r="http://schemas.openxmlformats.org/officeDocument/2006/relationships" ax:classid="{D7053240-CE69-11CD-A777-00DD01143C57}" r:id="rId1"/>
</file>

<file path=xl/activeX/activeX70.xml><?xml version="1.0" encoding="utf-8"?>
<ax:ocx xmlns:ax="http://schemas.microsoft.com/office/2006/activeX" xmlns:r="http://schemas.openxmlformats.org/officeDocument/2006/relationships" ax:classid="{8BD21D40-EC42-11CE-9E0D-00AA006002F3}" r:id="rId1"/>
</file>

<file path=xl/activeX/activeX71.xml><?xml version="1.0" encoding="utf-8"?>
<ax:ocx xmlns:ax="http://schemas.microsoft.com/office/2006/activeX" xmlns:r="http://schemas.openxmlformats.org/officeDocument/2006/relationships" ax:classid="{8BD21D40-EC42-11CE-9E0D-00AA006002F3}" r:id="rId1"/>
</file>

<file path=xl/activeX/activeX72.xml><?xml version="1.0" encoding="utf-8"?>
<ax:ocx xmlns:ax="http://schemas.microsoft.com/office/2006/activeX" xmlns:r="http://schemas.openxmlformats.org/officeDocument/2006/relationships" ax:classid="{978C9E23-D4B0-11CE-BF2D-00AA003F40D0}" r:id="rId1"/>
</file>

<file path=xl/activeX/activeX73.xml><?xml version="1.0" encoding="utf-8"?>
<ax:ocx xmlns:ax="http://schemas.microsoft.com/office/2006/activeX" xmlns:r="http://schemas.openxmlformats.org/officeDocument/2006/relationships" ax:classid="{978C9E23-D4B0-11CE-BF2D-00AA003F40D0}" r:id="rId1"/>
</file>

<file path=xl/activeX/activeX74.xml><?xml version="1.0" encoding="utf-8"?>
<ax:ocx xmlns:ax="http://schemas.microsoft.com/office/2006/activeX" xmlns:r="http://schemas.openxmlformats.org/officeDocument/2006/relationships" ax:classid="{978C9E23-D4B0-11CE-BF2D-00AA003F40D0}" r:id="rId1"/>
</file>

<file path=xl/activeX/activeX75.xml><?xml version="1.0" encoding="utf-8"?>
<ax:ocx xmlns:ax="http://schemas.microsoft.com/office/2006/activeX" xmlns:r="http://schemas.openxmlformats.org/officeDocument/2006/relationships" ax:classid="{8BD21D10-EC42-11CE-9E0D-00AA006002F3}" r:id="rId1"/>
</file>

<file path=xl/activeX/activeX76.xml><?xml version="1.0" encoding="utf-8"?>
<ax:ocx xmlns:ax="http://schemas.microsoft.com/office/2006/activeX" xmlns:r="http://schemas.openxmlformats.org/officeDocument/2006/relationships" ax:classid="{8BD21D10-EC42-11CE-9E0D-00AA006002F3}" r:id="rId1"/>
</file>

<file path=xl/activeX/activeX77.xml><?xml version="1.0" encoding="utf-8"?>
<ax:ocx xmlns:ax="http://schemas.microsoft.com/office/2006/activeX" xmlns:r="http://schemas.openxmlformats.org/officeDocument/2006/relationships" ax:classid="{8BD21D10-EC42-11CE-9E0D-00AA006002F3}" r:id="rId1"/>
</file>

<file path=xl/activeX/activeX78.xml><?xml version="1.0" encoding="utf-8"?>
<ax:ocx xmlns:ax="http://schemas.microsoft.com/office/2006/activeX" xmlns:r="http://schemas.openxmlformats.org/officeDocument/2006/relationships" ax:classid="{8BD21D20-EC42-11CE-9E0D-00AA006002F3}" r:id="rId1"/>
</file>

<file path=xl/activeX/activeX79.xml><?xml version="1.0" encoding="utf-8"?>
<ax:ocx xmlns:ax="http://schemas.microsoft.com/office/2006/activeX" xmlns:r="http://schemas.openxmlformats.org/officeDocument/2006/relationships" ax:classid="{8BD21D20-EC42-11CE-9E0D-00AA006002F3}" r:id="rId1"/>
</file>

<file path=xl/activeX/activeX8.xml><?xml version="1.0" encoding="utf-8"?>
<ax:ocx xmlns:ax="http://schemas.microsoft.com/office/2006/activeX" xmlns:r="http://schemas.openxmlformats.org/officeDocument/2006/relationships" ax:classid="{D7053240-CE69-11CD-A777-00DD01143C57}" r:id="rId1"/>
</file>

<file path=xl/activeX/activeX80.xml><?xml version="1.0" encoding="utf-8"?>
<ax:ocx xmlns:ax="http://schemas.microsoft.com/office/2006/activeX" xmlns:r="http://schemas.openxmlformats.org/officeDocument/2006/relationships" ax:classid="{8BD21D20-EC42-11CE-9E0D-00AA006002F3}" r:id="rId1"/>
</file>

<file path=xl/activeX/activeX81.xml><?xml version="1.0" encoding="utf-8"?>
<ax:ocx xmlns:ax="http://schemas.microsoft.com/office/2006/activeX" xmlns:r="http://schemas.openxmlformats.org/officeDocument/2006/relationships" ax:classid="{8BD21D40-EC42-11CE-9E0D-00AA006002F3}" r:id="rId1"/>
</file>

<file path=xl/activeX/activeX82.xml><?xml version="1.0" encoding="utf-8"?>
<ax:ocx xmlns:ax="http://schemas.microsoft.com/office/2006/activeX" xmlns:r="http://schemas.openxmlformats.org/officeDocument/2006/relationships" ax:classid="{8BD21D40-EC42-11CE-9E0D-00AA006002F3}" r:id="rId1"/>
</file>

<file path=xl/activeX/activeX83.xml><?xml version="1.0" encoding="utf-8"?>
<ax:ocx xmlns:ax="http://schemas.microsoft.com/office/2006/activeX" xmlns:r="http://schemas.openxmlformats.org/officeDocument/2006/relationships" ax:classid="{D7053240-CE69-11CD-A777-00DD01143C57}" r:id="rId1"/>
</file>

<file path=xl/activeX/activeX84.xml><?xml version="1.0" encoding="utf-8"?>
<ax:ocx xmlns:ax="http://schemas.microsoft.com/office/2006/activeX" xmlns:r="http://schemas.openxmlformats.org/officeDocument/2006/relationships" ax:classid="{D7053240-CE69-11CD-A777-00DD01143C57}" r:id="rId1"/>
</file>

<file path=xl/activeX/activeX85.xml><?xml version="1.0" encoding="utf-8"?>
<ax:ocx xmlns:ax="http://schemas.microsoft.com/office/2006/activeX" xmlns:r="http://schemas.openxmlformats.org/officeDocument/2006/relationships" ax:classid="{D7053240-CE69-11CD-A777-00DD01143C57}" r:id="rId1"/>
</file>

<file path=xl/activeX/activeX86.xml><?xml version="1.0" encoding="utf-8"?>
<ax:ocx xmlns:ax="http://schemas.microsoft.com/office/2006/activeX" xmlns:r="http://schemas.openxmlformats.org/officeDocument/2006/relationships" ax:classid="{D7053240-CE69-11CD-A777-00DD01143C57}" r:id="rId1"/>
</file>

<file path=xl/activeX/activeX87.xml><?xml version="1.0" encoding="utf-8"?>
<ax:ocx xmlns:ax="http://schemas.microsoft.com/office/2006/activeX" xmlns:r="http://schemas.openxmlformats.org/officeDocument/2006/relationships" ax:classid="{D7053240-CE69-11CD-A777-00DD01143C57}" r:id="rId1"/>
</file>

<file path=xl/activeX/activeX88.xml><?xml version="1.0" encoding="utf-8"?>
<ax:ocx xmlns:ax="http://schemas.microsoft.com/office/2006/activeX" xmlns:r="http://schemas.openxmlformats.org/officeDocument/2006/relationships" ax:classid="{D7053240-CE69-11CD-A777-00DD01143C57}" r:id="rId1"/>
</file>

<file path=xl/activeX/activeX89.xml><?xml version="1.0" encoding="utf-8"?>
<ax:ocx xmlns:ax="http://schemas.microsoft.com/office/2006/activeX" xmlns:r="http://schemas.openxmlformats.org/officeDocument/2006/relationships" ax:classid="{D7053240-CE69-11CD-A777-00DD01143C57}" r:id="rId1"/>
</file>

<file path=xl/activeX/activeX9.xml><?xml version="1.0" encoding="utf-8"?>
<ax:ocx xmlns:ax="http://schemas.microsoft.com/office/2006/activeX" xmlns:r="http://schemas.openxmlformats.org/officeDocument/2006/relationships" ax:classid="{D7053240-CE69-11CD-A777-00DD01143C57}"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Rainfall-Runoff</a:t>
            </a:r>
          </a:p>
        </c:rich>
      </c:tx>
      <c:layout>
        <c:manualLayout>
          <c:xMode val="edge"/>
          <c:yMode val="edge"/>
          <c:x val="0.36726691772224124"/>
          <c:y val="0"/>
        </c:manualLayout>
      </c:layout>
      <c:overlay val="0"/>
    </c:title>
    <c:autoTitleDeleted val="0"/>
    <c:plotArea>
      <c:layout/>
      <c:barChart>
        <c:barDir val="col"/>
        <c:grouping val="clustered"/>
        <c:varyColors val="0"/>
        <c:ser>
          <c:idx val="0"/>
          <c:order val="0"/>
          <c:tx>
            <c:v>Rainfall</c:v>
          </c:tx>
          <c:invertIfNegative val="0"/>
          <c:val>
            <c:numRef>
              <c:f>Summary.Sheet!$D$7:$D$18</c:f>
              <c:numCache>
                <c:formatCode>General</c:formatCode>
                <c:ptCount val="12"/>
                <c:pt idx="0">
                  <c:v>3.59</c:v>
                </c:pt>
                <c:pt idx="1">
                  <c:v>3.71</c:v>
                </c:pt>
                <c:pt idx="2">
                  <c:v>4.04</c:v>
                </c:pt>
                <c:pt idx="3">
                  <c:v>3.72</c:v>
                </c:pt>
                <c:pt idx="4">
                  <c:v>3.21</c:v>
                </c:pt>
                <c:pt idx="5">
                  <c:v>4.1399999999999997</c:v>
                </c:pt>
                <c:pt idx="6">
                  <c:v>4.0599999999999996</c:v>
                </c:pt>
                <c:pt idx="7">
                  <c:v>4.12</c:v>
                </c:pt>
                <c:pt idx="8">
                  <c:v>3.82</c:v>
                </c:pt>
                <c:pt idx="9">
                  <c:v>3.23</c:v>
                </c:pt>
                <c:pt idx="10">
                  <c:v>3.41</c:v>
                </c:pt>
                <c:pt idx="11">
                  <c:v>3.28</c:v>
                </c:pt>
              </c:numCache>
            </c:numRef>
          </c:val>
          <c:extLst>
            <c:ext xmlns:c16="http://schemas.microsoft.com/office/drawing/2014/chart" uri="{C3380CC4-5D6E-409C-BE32-E72D297353CC}">
              <c16:uniqueId val="{00000000-8125-4AA8-956B-B482339F70AD}"/>
            </c:ext>
          </c:extLst>
        </c:ser>
        <c:ser>
          <c:idx val="1"/>
          <c:order val="1"/>
          <c:tx>
            <c:v>Runoff</c:v>
          </c:tx>
          <c:invertIfNegative val="0"/>
          <c:val>
            <c:numRef>
              <c:f>Summary.Sheet!$E$7:$E$18</c:f>
              <c:numCache>
                <c:formatCode>0.00</c:formatCode>
                <c:ptCount val="12"/>
                <c:pt idx="0">
                  <c:v>0.64786826077148663</c:v>
                </c:pt>
                <c:pt idx="1">
                  <c:v>0.66952402436273406</c:v>
                </c:pt>
                <c:pt idx="2">
                  <c:v>0.7290773742386647</c:v>
                </c:pt>
                <c:pt idx="3">
                  <c:v>0.67132867132867136</c:v>
                </c:pt>
                <c:pt idx="4">
                  <c:v>0.57929167606586962</c:v>
                </c:pt>
                <c:pt idx="5">
                  <c:v>0.74712384389803743</c:v>
                </c:pt>
                <c:pt idx="6">
                  <c:v>0.73268666817053907</c:v>
                </c:pt>
                <c:pt idx="7">
                  <c:v>0.74351454996616295</c:v>
                </c:pt>
                <c:pt idx="8">
                  <c:v>0.68937514098804431</c:v>
                </c:pt>
                <c:pt idx="9">
                  <c:v>0.58290096999774421</c:v>
                </c:pt>
                <c:pt idx="10">
                  <c:v>0.61538461538461542</c:v>
                </c:pt>
                <c:pt idx="11">
                  <c:v>0.59192420482743058</c:v>
                </c:pt>
              </c:numCache>
            </c:numRef>
          </c:val>
          <c:extLst>
            <c:ext xmlns:c16="http://schemas.microsoft.com/office/drawing/2014/chart" uri="{C3380CC4-5D6E-409C-BE32-E72D297353CC}">
              <c16:uniqueId val="{00000001-8125-4AA8-956B-B482339F70AD}"/>
            </c:ext>
          </c:extLst>
        </c:ser>
        <c:dLbls>
          <c:showLegendKey val="0"/>
          <c:showVal val="0"/>
          <c:showCatName val="0"/>
          <c:showSerName val="0"/>
          <c:showPercent val="0"/>
          <c:showBubbleSize val="0"/>
        </c:dLbls>
        <c:gapWidth val="150"/>
        <c:axId val="40968192"/>
        <c:axId val="647472832"/>
      </c:barChart>
      <c:catAx>
        <c:axId val="40968192"/>
        <c:scaling>
          <c:orientation val="minMax"/>
        </c:scaling>
        <c:delete val="0"/>
        <c:axPos val="b"/>
        <c:majorTickMark val="none"/>
        <c:minorTickMark val="none"/>
        <c:tickLblPos val="nextTo"/>
        <c:crossAx val="647472832"/>
        <c:crosses val="autoZero"/>
        <c:auto val="1"/>
        <c:lblAlgn val="ctr"/>
        <c:lblOffset val="100"/>
        <c:noMultiLvlLbl val="0"/>
      </c:catAx>
      <c:valAx>
        <c:axId val="647472832"/>
        <c:scaling>
          <c:orientation val="minMax"/>
        </c:scaling>
        <c:delete val="0"/>
        <c:axPos val="l"/>
        <c:majorGridlines/>
        <c:title>
          <c:tx>
            <c:rich>
              <a:bodyPr rot="-5400000" vert="horz"/>
              <a:lstStyle/>
              <a:p>
                <a:pPr>
                  <a:defRPr/>
                </a:pPr>
                <a:r>
                  <a:rPr lang="en-US"/>
                  <a:t>Inches</a:t>
                </a:r>
              </a:p>
            </c:rich>
          </c:tx>
          <c:overlay val="0"/>
        </c:title>
        <c:numFmt formatCode="General" sourceLinked="1"/>
        <c:majorTickMark val="none"/>
        <c:minorTickMark val="none"/>
        <c:tickLblPos val="nextTo"/>
        <c:crossAx val="4096819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Mass Curves</a:t>
            </a:r>
          </a:p>
        </c:rich>
      </c:tx>
      <c:overlay val="0"/>
    </c:title>
    <c:autoTitleDeleted val="0"/>
    <c:plotArea>
      <c:layout/>
      <c:lineChart>
        <c:grouping val="standard"/>
        <c:varyColors val="0"/>
        <c:ser>
          <c:idx val="0"/>
          <c:order val="0"/>
          <c:tx>
            <c:v>cum runoff</c:v>
          </c:tx>
          <c:marker>
            <c:symbol val="none"/>
          </c:marker>
          <c:val>
            <c:numRef>
              <c:f>Summary.Sheet!$L$7:$L$18</c:f>
              <c:numCache>
                <c:formatCode>0.00</c:formatCode>
                <c:ptCount val="12"/>
                <c:pt idx="0">
                  <c:v>1.3497255432739304</c:v>
                </c:pt>
                <c:pt idx="1">
                  <c:v>2.744567260696293</c:v>
                </c:pt>
                <c:pt idx="2">
                  <c:v>4.263478457026844</c:v>
                </c:pt>
                <c:pt idx="3">
                  <c:v>5.6620798556282423</c:v>
                </c:pt>
                <c:pt idx="4">
                  <c:v>6.8689375140988043</c:v>
                </c:pt>
                <c:pt idx="5">
                  <c:v>8.4254455222197162</c:v>
                </c:pt>
                <c:pt idx="6">
                  <c:v>9.95187608090834</c:v>
                </c:pt>
                <c:pt idx="7">
                  <c:v>11.50086472667118</c:v>
                </c:pt>
                <c:pt idx="8">
                  <c:v>12.937062937062938</c:v>
                </c:pt>
                <c:pt idx="9">
                  <c:v>14.151439957891572</c:v>
                </c:pt>
                <c:pt idx="10">
                  <c:v>15.433491239942855</c:v>
                </c:pt>
                <c:pt idx="11">
                  <c:v>16.666666666666668</c:v>
                </c:pt>
              </c:numCache>
            </c:numRef>
          </c:val>
          <c:smooth val="0"/>
          <c:extLst>
            <c:ext xmlns:c16="http://schemas.microsoft.com/office/drawing/2014/chart" uri="{C3380CC4-5D6E-409C-BE32-E72D297353CC}">
              <c16:uniqueId val="{00000000-100D-41CB-8596-DCAF6F3CB419}"/>
            </c:ext>
          </c:extLst>
        </c:ser>
        <c:ser>
          <c:idx val="1"/>
          <c:order val="1"/>
          <c:tx>
            <c:v>cum demand</c:v>
          </c:tx>
          <c:marker>
            <c:symbol val="none"/>
          </c:marker>
          <c:val>
            <c:numRef>
              <c:f>Summary.Sheet!$M$7:$M$18</c:f>
              <c:numCache>
                <c:formatCode>0.00</c:formatCode>
                <c:ptCount val="12"/>
                <c:pt idx="0">
                  <c:v>0</c:v>
                </c:pt>
                <c:pt idx="1">
                  <c:v>0</c:v>
                </c:pt>
                <c:pt idx="2">
                  <c:v>0</c:v>
                </c:pt>
                <c:pt idx="3">
                  <c:v>0</c:v>
                </c:pt>
                <c:pt idx="4">
                  <c:v>39.692782570426758</c:v>
                </c:pt>
                <c:pt idx="5">
                  <c:v>97.997861752725314</c:v>
                </c:pt>
                <c:pt idx="6">
                  <c:v>146.5846839172734</c:v>
                </c:pt>
                <c:pt idx="7">
                  <c:v>146.5846839172734</c:v>
                </c:pt>
                <c:pt idx="8">
                  <c:v>146.5846839172734</c:v>
                </c:pt>
                <c:pt idx="9">
                  <c:v>146.5846839172734</c:v>
                </c:pt>
                <c:pt idx="10">
                  <c:v>146.5846839172734</c:v>
                </c:pt>
                <c:pt idx="11">
                  <c:v>146.5846839172734</c:v>
                </c:pt>
              </c:numCache>
            </c:numRef>
          </c:val>
          <c:smooth val="0"/>
          <c:extLst>
            <c:ext xmlns:c16="http://schemas.microsoft.com/office/drawing/2014/chart" uri="{C3380CC4-5D6E-409C-BE32-E72D297353CC}">
              <c16:uniqueId val="{00000001-100D-41CB-8596-DCAF6F3CB419}"/>
            </c:ext>
          </c:extLst>
        </c:ser>
        <c:dLbls>
          <c:showLegendKey val="0"/>
          <c:showVal val="0"/>
          <c:showCatName val="0"/>
          <c:showSerName val="0"/>
          <c:showPercent val="0"/>
          <c:showBubbleSize val="0"/>
        </c:dLbls>
        <c:smooth val="0"/>
        <c:axId val="40969216"/>
        <c:axId val="647473984"/>
      </c:lineChart>
      <c:catAx>
        <c:axId val="40969216"/>
        <c:scaling>
          <c:orientation val="minMax"/>
        </c:scaling>
        <c:delete val="0"/>
        <c:axPos val="b"/>
        <c:title>
          <c:tx>
            <c:rich>
              <a:bodyPr/>
              <a:lstStyle/>
              <a:p>
                <a:pPr>
                  <a:defRPr/>
                </a:pPr>
                <a:r>
                  <a:rPr lang="en-US"/>
                  <a:t>Month</a:t>
                </a:r>
              </a:p>
            </c:rich>
          </c:tx>
          <c:overlay val="0"/>
        </c:title>
        <c:majorTickMark val="none"/>
        <c:minorTickMark val="none"/>
        <c:tickLblPos val="nextTo"/>
        <c:crossAx val="647473984"/>
        <c:crosses val="autoZero"/>
        <c:auto val="1"/>
        <c:lblAlgn val="ctr"/>
        <c:lblOffset val="100"/>
        <c:noMultiLvlLbl val="0"/>
      </c:catAx>
      <c:valAx>
        <c:axId val="647473984"/>
        <c:scaling>
          <c:orientation val="minMax"/>
        </c:scaling>
        <c:delete val="0"/>
        <c:axPos val="l"/>
        <c:majorGridlines/>
        <c:title>
          <c:tx>
            <c:rich>
              <a:bodyPr/>
              <a:lstStyle/>
              <a:p>
                <a:pPr>
                  <a:defRPr/>
                </a:pPr>
                <a:r>
                  <a:rPr lang="en-US"/>
                  <a:t>Acre-feet</a:t>
                </a:r>
              </a:p>
            </c:rich>
          </c:tx>
          <c:overlay val="0"/>
        </c:title>
        <c:numFmt formatCode="0.00" sourceLinked="1"/>
        <c:majorTickMark val="none"/>
        <c:minorTickMark val="none"/>
        <c:tickLblPos val="nextTo"/>
        <c:crossAx val="409692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82.jpg"/><Relationship Id="rId1" Type="http://schemas.openxmlformats.org/officeDocument/2006/relationships/image" Target="../media/image8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82.jpg"/><Relationship Id="rId1" Type="http://schemas.openxmlformats.org/officeDocument/2006/relationships/image" Target="../media/image8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7.emf"/><Relationship Id="rId7" Type="http://schemas.openxmlformats.org/officeDocument/2006/relationships/image" Target="../media/image4.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11" Type="http://schemas.openxmlformats.org/officeDocument/2006/relationships/image" Target="../media/image1.emf"/><Relationship Id="rId5" Type="http://schemas.openxmlformats.org/officeDocument/2006/relationships/image" Target="../media/image9.emf"/><Relationship Id="rId10" Type="http://schemas.openxmlformats.org/officeDocument/2006/relationships/image" Target="../media/image11.emf"/><Relationship Id="rId4" Type="http://schemas.openxmlformats.org/officeDocument/2006/relationships/image" Target="../media/image8.emf"/><Relationship Id="rId9" Type="http://schemas.openxmlformats.org/officeDocument/2006/relationships/image" Target="../media/image2.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3.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8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7.emf"/><Relationship Id="rId13" Type="http://schemas.openxmlformats.org/officeDocument/2006/relationships/image" Target="../media/image27.emf"/><Relationship Id="rId18" Type="http://schemas.openxmlformats.org/officeDocument/2006/relationships/image" Target="../media/image22.emf"/><Relationship Id="rId26" Type="http://schemas.openxmlformats.org/officeDocument/2006/relationships/image" Target="../media/image14.emf"/><Relationship Id="rId3" Type="http://schemas.openxmlformats.org/officeDocument/2006/relationships/image" Target="../media/image34.emf"/><Relationship Id="rId21" Type="http://schemas.openxmlformats.org/officeDocument/2006/relationships/image" Target="../media/image19.emf"/><Relationship Id="rId7" Type="http://schemas.openxmlformats.org/officeDocument/2006/relationships/image" Target="../media/image30.emf"/><Relationship Id="rId12" Type="http://schemas.openxmlformats.org/officeDocument/2006/relationships/image" Target="../media/image28.emf"/><Relationship Id="rId17" Type="http://schemas.openxmlformats.org/officeDocument/2006/relationships/image" Target="../media/image23.emf"/><Relationship Id="rId25" Type="http://schemas.openxmlformats.org/officeDocument/2006/relationships/image" Target="../media/image15.emf"/><Relationship Id="rId2" Type="http://schemas.openxmlformats.org/officeDocument/2006/relationships/image" Target="../media/image35.emf"/><Relationship Id="rId16" Type="http://schemas.openxmlformats.org/officeDocument/2006/relationships/image" Target="../media/image24.emf"/><Relationship Id="rId20" Type="http://schemas.openxmlformats.org/officeDocument/2006/relationships/image" Target="../media/image20.emf"/><Relationship Id="rId29" Type="http://schemas.openxmlformats.org/officeDocument/2006/relationships/image" Target="../media/image12.emf"/><Relationship Id="rId1" Type="http://schemas.openxmlformats.org/officeDocument/2006/relationships/image" Target="../media/image36.emf"/><Relationship Id="rId6" Type="http://schemas.openxmlformats.org/officeDocument/2006/relationships/image" Target="../media/image31.emf"/><Relationship Id="rId11" Type="http://schemas.openxmlformats.org/officeDocument/2006/relationships/image" Target="../media/image29.emf"/><Relationship Id="rId24" Type="http://schemas.openxmlformats.org/officeDocument/2006/relationships/image" Target="../media/image16.emf"/><Relationship Id="rId5" Type="http://schemas.openxmlformats.org/officeDocument/2006/relationships/image" Target="../media/image32.emf"/><Relationship Id="rId15" Type="http://schemas.openxmlformats.org/officeDocument/2006/relationships/image" Target="../media/image25.emf"/><Relationship Id="rId23" Type="http://schemas.openxmlformats.org/officeDocument/2006/relationships/image" Target="../media/image17.emf"/><Relationship Id="rId28" Type="http://schemas.openxmlformats.org/officeDocument/2006/relationships/image" Target="../media/image40.emf"/><Relationship Id="rId10" Type="http://schemas.openxmlformats.org/officeDocument/2006/relationships/image" Target="../media/image39.emf"/><Relationship Id="rId19" Type="http://schemas.openxmlformats.org/officeDocument/2006/relationships/image" Target="../media/image21.emf"/><Relationship Id="rId31" Type="http://schemas.openxmlformats.org/officeDocument/2006/relationships/image" Target="../media/image42.emf"/><Relationship Id="rId4" Type="http://schemas.openxmlformats.org/officeDocument/2006/relationships/image" Target="../media/image33.emf"/><Relationship Id="rId9" Type="http://schemas.openxmlformats.org/officeDocument/2006/relationships/image" Target="../media/image38.emf"/><Relationship Id="rId14" Type="http://schemas.openxmlformats.org/officeDocument/2006/relationships/image" Target="../media/image26.emf"/><Relationship Id="rId22" Type="http://schemas.openxmlformats.org/officeDocument/2006/relationships/image" Target="../media/image18.emf"/><Relationship Id="rId27" Type="http://schemas.openxmlformats.org/officeDocument/2006/relationships/image" Target="../media/image13.emf"/><Relationship Id="rId30" Type="http://schemas.openxmlformats.org/officeDocument/2006/relationships/image" Target="../media/image41.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51.emf"/><Relationship Id="rId13" Type="http://schemas.openxmlformats.org/officeDocument/2006/relationships/image" Target="../media/image46.emf"/><Relationship Id="rId3" Type="http://schemas.openxmlformats.org/officeDocument/2006/relationships/image" Target="../media/image57.emf"/><Relationship Id="rId7" Type="http://schemas.openxmlformats.org/officeDocument/2006/relationships/image" Target="../media/image52.emf"/><Relationship Id="rId12" Type="http://schemas.openxmlformats.org/officeDocument/2006/relationships/image" Target="../media/image47.emf"/><Relationship Id="rId17" Type="http://schemas.openxmlformats.org/officeDocument/2006/relationships/image" Target="../media/image43.emf"/><Relationship Id="rId2" Type="http://schemas.openxmlformats.org/officeDocument/2006/relationships/image" Target="../media/image56.emf"/><Relationship Id="rId16" Type="http://schemas.openxmlformats.org/officeDocument/2006/relationships/image" Target="../media/image59.emf"/><Relationship Id="rId1" Type="http://schemas.openxmlformats.org/officeDocument/2006/relationships/image" Target="../media/image55.emf"/><Relationship Id="rId6" Type="http://schemas.openxmlformats.org/officeDocument/2006/relationships/image" Target="../media/image54.emf"/><Relationship Id="rId11" Type="http://schemas.openxmlformats.org/officeDocument/2006/relationships/image" Target="../media/image48.emf"/><Relationship Id="rId5" Type="http://schemas.openxmlformats.org/officeDocument/2006/relationships/image" Target="../media/image53.emf"/><Relationship Id="rId15" Type="http://schemas.openxmlformats.org/officeDocument/2006/relationships/image" Target="../media/image44.emf"/><Relationship Id="rId10" Type="http://schemas.openxmlformats.org/officeDocument/2006/relationships/image" Target="../media/image49.emf"/><Relationship Id="rId4" Type="http://schemas.openxmlformats.org/officeDocument/2006/relationships/image" Target="../media/image58.emf"/><Relationship Id="rId9" Type="http://schemas.openxmlformats.org/officeDocument/2006/relationships/image" Target="../media/image50.emf"/><Relationship Id="rId14" Type="http://schemas.openxmlformats.org/officeDocument/2006/relationships/image" Target="../media/image45.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69.emf"/><Relationship Id="rId13" Type="http://schemas.openxmlformats.org/officeDocument/2006/relationships/image" Target="../media/image64.emf"/><Relationship Id="rId18" Type="http://schemas.openxmlformats.org/officeDocument/2006/relationships/image" Target="../media/image75.emf"/><Relationship Id="rId3" Type="http://schemas.openxmlformats.org/officeDocument/2006/relationships/image" Target="../media/image71.emf"/><Relationship Id="rId7" Type="http://schemas.openxmlformats.org/officeDocument/2006/relationships/image" Target="../media/image70.emf"/><Relationship Id="rId12" Type="http://schemas.openxmlformats.org/officeDocument/2006/relationships/image" Target="../media/image65.emf"/><Relationship Id="rId17" Type="http://schemas.openxmlformats.org/officeDocument/2006/relationships/image" Target="../media/image74.emf"/><Relationship Id="rId2" Type="http://schemas.openxmlformats.org/officeDocument/2006/relationships/image" Target="../media/image72.emf"/><Relationship Id="rId16" Type="http://schemas.openxmlformats.org/officeDocument/2006/relationships/image" Target="../media/image61.emf"/><Relationship Id="rId20" Type="http://schemas.openxmlformats.org/officeDocument/2006/relationships/image" Target="../media/image60.emf"/><Relationship Id="rId1" Type="http://schemas.openxmlformats.org/officeDocument/2006/relationships/image" Target="../media/image73.emf"/><Relationship Id="rId6" Type="http://schemas.openxmlformats.org/officeDocument/2006/relationships/image" Target="../media/image39.emf"/><Relationship Id="rId11" Type="http://schemas.openxmlformats.org/officeDocument/2006/relationships/image" Target="../media/image66.emf"/><Relationship Id="rId5" Type="http://schemas.openxmlformats.org/officeDocument/2006/relationships/image" Target="../media/image38.emf"/><Relationship Id="rId15" Type="http://schemas.openxmlformats.org/officeDocument/2006/relationships/image" Target="../media/image62.emf"/><Relationship Id="rId10" Type="http://schemas.openxmlformats.org/officeDocument/2006/relationships/image" Target="../media/image67.emf"/><Relationship Id="rId19" Type="http://schemas.openxmlformats.org/officeDocument/2006/relationships/image" Target="../media/image76.emf"/><Relationship Id="rId4" Type="http://schemas.openxmlformats.org/officeDocument/2006/relationships/image" Target="../media/image58.emf"/><Relationship Id="rId9" Type="http://schemas.openxmlformats.org/officeDocument/2006/relationships/image" Target="../media/image68.emf"/><Relationship Id="rId14" Type="http://schemas.openxmlformats.org/officeDocument/2006/relationships/image" Target="../media/image63.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9.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3</xdr:row>
          <xdr:rowOff>83820</xdr:rowOff>
        </xdr:from>
        <xdr:to>
          <xdr:col>7</xdr:col>
          <xdr:colOff>106680</xdr:colOff>
          <xdr:row>6</xdr:row>
          <xdr:rowOff>76200</xdr:rowOff>
        </xdr:to>
        <xdr:sp macro="" textlink="">
          <xdr:nvSpPr>
            <xdr:cNvPr id="33793" name="ClearDataButton"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7620</xdr:rowOff>
        </xdr:from>
        <xdr:to>
          <xdr:col>5</xdr:col>
          <xdr:colOff>121920</xdr:colOff>
          <xdr:row>13</xdr:row>
          <xdr:rowOff>7620</xdr:rowOff>
        </xdr:to>
        <xdr:sp macro="" textlink="">
          <xdr:nvSpPr>
            <xdr:cNvPr id="33795" name="CommandButton1"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xdr:row>
          <xdr:rowOff>182880</xdr:rowOff>
        </xdr:from>
        <xdr:to>
          <xdr:col>9</xdr:col>
          <xdr:colOff>518160</xdr:colOff>
          <xdr:row>12</xdr:row>
          <xdr:rowOff>106680</xdr:rowOff>
        </xdr:to>
        <xdr:sp macro="" textlink="">
          <xdr:nvSpPr>
            <xdr:cNvPr id="33797" name="CommandButton2"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14</xdr:row>
          <xdr:rowOff>106680</xdr:rowOff>
        </xdr:from>
        <xdr:to>
          <xdr:col>7</xdr:col>
          <xdr:colOff>464820</xdr:colOff>
          <xdr:row>18</xdr:row>
          <xdr:rowOff>106680</xdr:rowOff>
        </xdr:to>
        <xdr:sp macro="" textlink="">
          <xdr:nvSpPr>
            <xdr:cNvPr id="33798" name="CommandButton3"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24</xdr:row>
          <xdr:rowOff>175260</xdr:rowOff>
        </xdr:from>
        <xdr:to>
          <xdr:col>4</xdr:col>
          <xdr:colOff>137160</xdr:colOff>
          <xdr:row>27</xdr:row>
          <xdr:rowOff>160020</xdr:rowOff>
        </xdr:to>
        <xdr:sp macro="" textlink="">
          <xdr:nvSpPr>
            <xdr:cNvPr id="33799" name="CommandButton4"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7620</xdr:rowOff>
        </xdr:from>
        <xdr:to>
          <xdr:col>9</xdr:col>
          <xdr:colOff>289560</xdr:colOff>
          <xdr:row>27</xdr:row>
          <xdr:rowOff>137160</xdr:rowOff>
        </xdr:to>
        <xdr:sp macro="" textlink="">
          <xdr:nvSpPr>
            <xdr:cNvPr id="33800" name="CommandButton5"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144780</xdr:colOff>
          <xdr:row>2</xdr:row>
          <xdr:rowOff>0</xdr:rowOff>
        </xdr:to>
        <xdr:sp macro="" textlink="">
          <xdr:nvSpPr>
            <xdr:cNvPr id="33801" name="Label1"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xdr:row>
          <xdr:rowOff>30480</xdr:rowOff>
        </xdr:from>
        <xdr:to>
          <xdr:col>10</xdr:col>
          <xdr:colOff>419100</xdr:colOff>
          <xdr:row>5</xdr:row>
          <xdr:rowOff>99060</xdr:rowOff>
        </xdr:to>
        <xdr:sp macro="" textlink="">
          <xdr:nvSpPr>
            <xdr:cNvPr id="33802" name="Helpbuttonmain"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34</xdr:row>
          <xdr:rowOff>144780</xdr:rowOff>
        </xdr:from>
        <xdr:to>
          <xdr:col>8</xdr:col>
          <xdr:colOff>175260</xdr:colOff>
          <xdr:row>37</xdr:row>
          <xdr:rowOff>137160</xdr:rowOff>
        </xdr:to>
        <xdr:sp macro="" textlink="">
          <xdr:nvSpPr>
            <xdr:cNvPr id="33803" name="CommandButton6"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30</xdr:row>
          <xdr:rowOff>7620</xdr:rowOff>
        </xdr:from>
        <xdr:to>
          <xdr:col>6</xdr:col>
          <xdr:colOff>388620</xdr:colOff>
          <xdr:row>33</xdr:row>
          <xdr:rowOff>121920</xdr:rowOff>
        </xdr:to>
        <xdr:sp macro="" textlink="">
          <xdr:nvSpPr>
            <xdr:cNvPr id="33804" name="CommandButton7"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152400</xdr:rowOff>
        </xdr:from>
        <xdr:to>
          <xdr:col>7</xdr:col>
          <xdr:colOff>502920</xdr:colOff>
          <xdr:row>23</xdr:row>
          <xdr:rowOff>152400</xdr:rowOff>
        </xdr:to>
        <xdr:sp macro="" textlink="">
          <xdr:nvSpPr>
            <xdr:cNvPr id="33806" name="CommandButton8" hidden="1">
              <a:extLst>
                <a:ext uri="{63B3BB69-23CF-44E3-9099-C40C66FF867C}">
                  <a14:compatExt spid="_x0000_s33806"/>
                </a:ext>
                <a:ext uri="{FF2B5EF4-FFF2-40B4-BE49-F238E27FC236}">
                  <a16:creationId xmlns:a16="http://schemas.microsoft.com/office/drawing/2014/main" id="{00000000-0008-0000-0000-00000E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333375</xdr:colOff>
      <xdr:row>2</xdr:row>
      <xdr:rowOff>61912</xdr:rowOff>
    </xdr:from>
    <xdr:to>
      <xdr:col>8</xdr:col>
      <xdr:colOff>561975</xdr:colOff>
      <xdr:row>16</xdr:row>
      <xdr:rowOff>0</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409575</xdr:colOff>
      <xdr:row>18</xdr:row>
      <xdr:rowOff>61912</xdr:rowOff>
    </xdr:from>
    <xdr:to>
      <xdr:col>9</xdr:col>
      <xdr:colOff>38100</xdr:colOff>
      <xdr:row>32</xdr:row>
      <xdr:rowOff>138112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30480</xdr:colOff>
          <xdr:row>0</xdr:row>
          <xdr:rowOff>45720</xdr:rowOff>
        </xdr:from>
        <xdr:to>
          <xdr:col>1</xdr:col>
          <xdr:colOff>160020</xdr:colOff>
          <xdr:row>2</xdr:row>
          <xdr:rowOff>38100</xdr:rowOff>
        </xdr:to>
        <xdr:sp macro="" textlink="">
          <xdr:nvSpPr>
            <xdr:cNvPr id="48129" name="CommandButton1" hidden="1">
              <a:extLst>
                <a:ext uri="{63B3BB69-23CF-44E3-9099-C40C66FF867C}">
                  <a14:compatExt spid="_x0000_s48129"/>
                </a:ext>
                <a:ext uri="{FF2B5EF4-FFF2-40B4-BE49-F238E27FC236}">
                  <a16:creationId xmlns:a16="http://schemas.microsoft.com/office/drawing/2014/main" id="{00000000-0008-0000-1300-000001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0</xdr:row>
          <xdr:rowOff>45720</xdr:rowOff>
        </xdr:from>
        <xdr:to>
          <xdr:col>1</xdr:col>
          <xdr:colOff>160020</xdr:colOff>
          <xdr:row>2</xdr:row>
          <xdr:rowOff>22860</xdr:rowOff>
        </xdr:to>
        <xdr:sp macro="" textlink="">
          <xdr:nvSpPr>
            <xdr:cNvPr id="84993" name="CommandButton1" hidden="1">
              <a:extLst>
                <a:ext uri="{63B3BB69-23CF-44E3-9099-C40C66FF867C}">
                  <a14:compatExt spid="_x0000_s84993"/>
                </a:ext>
                <a:ext uri="{FF2B5EF4-FFF2-40B4-BE49-F238E27FC236}">
                  <a16:creationId xmlns:a16="http://schemas.microsoft.com/office/drawing/2014/main" id="{00000000-0008-0000-1400-0000014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106680</xdr:colOff>
          <xdr:row>5</xdr:row>
          <xdr:rowOff>99060</xdr:rowOff>
        </xdr:from>
        <xdr:to>
          <xdr:col>3</xdr:col>
          <xdr:colOff>152400</xdr:colOff>
          <xdr:row>15</xdr:row>
          <xdr:rowOff>99060</xdr:rowOff>
        </xdr:to>
        <xdr:sp macro="" textlink="">
          <xdr:nvSpPr>
            <xdr:cNvPr id="7170" name="countyListBox"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6</xdr:row>
          <xdr:rowOff>121920</xdr:rowOff>
        </xdr:from>
        <xdr:to>
          <xdr:col>8</xdr:col>
          <xdr:colOff>198120</xdr:colOff>
          <xdr:row>13</xdr:row>
          <xdr:rowOff>60960</xdr:rowOff>
        </xdr:to>
        <xdr:sp macro="" textlink="">
          <xdr:nvSpPr>
            <xdr:cNvPr id="7172" name="crop1list"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6</xdr:row>
          <xdr:rowOff>121920</xdr:rowOff>
        </xdr:from>
        <xdr:to>
          <xdr:col>11</xdr:col>
          <xdr:colOff>274320</xdr:colOff>
          <xdr:row>13</xdr:row>
          <xdr:rowOff>68580</xdr:rowOff>
        </xdr:to>
        <xdr:sp macro="" textlink="">
          <xdr:nvSpPr>
            <xdr:cNvPr id="7173" name="crop2list"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6</xdr:row>
          <xdr:rowOff>121920</xdr:rowOff>
        </xdr:from>
        <xdr:to>
          <xdr:col>14</xdr:col>
          <xdr:colOff>350520</xdr:colOff>
          <xdr:row>13</xdr:row>
          <xdr:rowOff>68580</xdr:rowOff>
        </xdr:to>
        <xdr:sp macro="" textlink="">
          <xdr:nvSpPr>
            <xdr:cNvPr id="7174" name="crop3list"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4</xdr:row>
          <xdr:rowOff>0</xdr:rowOff>
        </xdr:from>
        <xdr:to>
          <xdr:col>7</xdr:col>
          <xdr:colOff>312420</xdr:colOff>
          <xdr:row>6</xdr:row>
          <xdr:rowOff>68580</xdr:rowOff>
        </xdr:to>
        <xdr:sp macro="" textlink="">
          <xdr:nvSpPr>
            <xdr:cNvPr id="7175" name="crop1check"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4</xdr:row>
          <xdr:rowOff>0</xdr:rowOff>
        </xdr:from>
        <xdr:to>
          <xdr:col>10</xdr:col>
          <xdr:colOff>487680</xdr:colOff>
          <xdr:row>6</xdr:row>
          <xdr:rowOff>38100</xdr:rowOff>
        </xdr:to>
        <xdr:sp macro="" textlink="">
          <xdr:nvSpPr>
            <xdr:cNvPr id="7176" name="crop2check"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xdr:row>
          <xdr:rowOff>0</xdr:rowOff>
        </xdr:from>
        <xdr:to>
          <xdr:col>13</xdr:col>
          <xdr:colOff>556260</xdr:colOff>
          <xdr:row>6</xdr:row>
          <xdr:rowOff>83820</xdr:rowOff>
        </xdr:to>
        <xdr:sp macro="" textlink="">
          <xdr:nvSpPr>
            <xdr:cNvPr id="7177" name="crop3check"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16</xdr:row>
          <xdr:rowOff>0</xdr:rowOff>
        </xdr:from>
        <xdr:to>
          <xdr:col>6</xdr:col>
          <xdr:colOff>327660</xdr:colOff>
          <xdr:row>17</xdr:row>
          <xdr:rowOff>114300</xdr:rowOff>
        </xdr:to>
        <xdr:sp macro="" textlink="">
          <xdr:nvSpPr>
            <xdr:cNvPr id="7185" name="Acreage1"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16</xdr:row>
          <xdr:rowOff>0</xdr:rowOff>
        </xdr:from>
        <xdr:to>
          <xdr:col>9</xdr:col>
          <xdr:colOff>381000</xdr:colOff>
          <xdr:row>17</xdr:row>
          <xdr:rowOff>160020</xdr:rowOff>
        </xdr:to>
        <xdr:sp macro="" textlink="">
          <xdr:nvSpPr>
            <xdr:cNvPr id="7186" name="Acreage2"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16</xdr:row>
          <xdr:rowOff>0</xdr:rowOff>
        </xdr:from>
        <xdr:to>
          <xdr:col>12</xdr:col>
          <xdr:colOff>525780</xdr:colOff>
          <xdr:row>17</xdr:row>
          <xdr:rowOff>137160</xdr:rowOff>
        </xdr:to>
        <xdr:sp macro="" textlink="">
          <xdr:nvSpPr>
            <xdr:cNvPr id="7187" name="Acreage3"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19</xdr:row>
          <xdr:rowOff>68580</xdr:rowOff>
        </xdr:from>
        <xdr:to>
          <xdr:col>8</xdr:col>
          <xdr:colOff>198120</xdr:colOff>
          <xdr:row>26</xdr:row>
          <xdr:rowOff>0</xdr:rowOff>
        </xdr:to>
        <xdr:sp macro="" textlink="">
          <xdr:nvSpPr>
            <xdr:cNvPr id="7189" name="plantdate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19</xdr:row>
          <xdr:rowOff>68580</xdr:rowOff>
        </xdr:from>
        <xdr:to>
          <xdr:col>11</xdr:col>
          <xdr:colOff>274320</xdr:colOff>
          <xdr:row>26</xdr:row>
          <xdr:rowOff>0</xdr:rowOff>
        </xdr:to>
        <xdr:sp macro="" textlink="">
          <xdr:nvSpPr>
            <xdr:cNvPr id="7190" name="plantdate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68580</xdr:rowOff>
        </xdr:from>
        <xdr:to>
          <xdr:col>14</xdr:col>
          <xdr:colOff>350520</xdr:colOff>
          <xdr:row>26</xdr:row>
          <xdr:rowOff>0</xdr:rowOff>
        </xdr:to>
        <xdr:sp macro="" textlink="">
          <xdr:nvSpPr>
            <xdr:cNvPr id="7191" name="plantdate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16</xdr:row>
          <xdr:rowOff>0</xdr:rowOff>
        </xdr:from>
        <xdr:to>
          <xdr:col>7</xdr:col>
          <xdr:colOff>579120</xdr:colOff>
          <xdr:row>17</xdr:row>
          <xdr:rowOff>76200</xdr:rowOff>
        </xdr:to>
        <xdr:sp macro="" textlink="">
          <xdr:nvSpPr>
            <xdr:cNvPr id="7202" name="acreage1label"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11</xdr:col>
          <xdr:colOff>45720</xdr:colOff>
          <xdr:row>17</xdr:row>
          <xdr:rowOff>76200</xdr:rowOff>
        </xdr:to>
        <xdr:sp macro="" textlink="">
          <xdr:nvSpPr>
            <xdr:cNvPr id="7203" name="Acreage2label"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16</xdr:row>
          <xdr:rowOff>0</xdr:rowOff>
        </xdr:from>
        <xdr:to>
          <xdr:col>14</xdr:col>
          <xdr:colOff>121920</xdr:colOff>
          <xdr:row>17</xdr:row>
          <xdr:rowOff>76200</xdr:rowOff>
        </xdr:to>
        <xdr:sp macro="" textlink="">
          <xdr:nvSpPr>
            <xdr:cNvPr id="7204" name="Acreage3label"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28</xdr:row>
          <xdr:rowOff>0</xdr:rowOff>
        </xdr:from>
        <xdr:to>
          <xdr:col>8</xdr:col>
          <xdr:colOff>198120</xdr:colOff>
          <xdr:row>34</xdr:row>
          <xdr:rowOff>121920</xdr:rowOff>
        </xdr:to>
        <xdr:sp macro="" textlink="">
          <xdr:nvSpPr>
            <xdr:cNvPr id="7215" name="systype1"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28</xdr:row>
          <xdr:rowOff>0</xdr:rowOff>
        </xdr:from>
        <xdr:to>
          <xdr:col>11</xdr:col>
          <xdr:colOff>274320</xdr:colOff>
          <xdr:row>34</xdr:row>
          <xdr:rowOff>121920</xdr:rowOff>
        </xdr:to>
        <xdr:sp macro="" textlink="">
          <xdr:nvSpPr>
            <xdr:cNvPr id="7218" name="systype2"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28</xdr:row>
          <xdr:rowOff>0</xdr:rowOff>
        </xdr:from>
        <xdr:to>
          <xdr:col>14</xdr:col>
          <xdr:colOff>350520</xdr:colOff>
          <xdr:row>34</xdr:row>
          <xdr:rowOff>121920</xdr:rowOff>
        </xdr:to>
        <xdr:sp macro="" textlink="">
          <xdr:nvSpPr>
            <xdr:cNvPr id="7219" name="systype3"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37</xdr:row>
          <xdr:rowOff>121920</xdr:rowOff>
        </xdr:from>
        <xdr:to>
          <xdr:col>6</xdr:col>
          <xdr:colOff>304800</xdr:colOff>
          <xdr:row>40</xdr:row>
          <xdr:rowOff>144780</xdr:rowOff>
        </xdr:to>
        <xdr:sp macro="" textlink="">
          <xdr:nvSpPr>
            <xdr:cNvPr id="7220" name="custeff1spin"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37</xdr:row>
          <xdr:rowOff>121920</xdr:rowOff>
        </xdr:from>
        <xdr:to>
          <xdr:col>9</xdr:col>
          <xdr:colOff>381000</xdr:colOff>
          <xdr:row>40</xdr:row>
          <xdr:rowOff>144780</xdr:rowOff>
        </xdr:to>
        <xdr:sp macro="" textlink="">
          <xdr:nvSpPr>
            <xdr:cNvPr id="7221" name="custeff2spin"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37</xdr:row>
          <xdr:rowOff>121920</xdr:rowOff>
        </xdr:from>
        <xdr:to>
          <xdr:col>12</xdr:col>
          <xdr:colOff>457200</xdr:colOff>
          <xdr:row>40</xdr:row>
          <xdr:rowOff>144780</xdr:rowOff>
        </xdr:to>
        <xdr:sp macro="" textlink="">
          <xdr:nvSpPr>
            <xdr:cNvPr id="7222" name="custeff3spin"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36</xdr:row>
          <xdr:rowOff>0</xdr:rowOff>
        </xdr:from>
        <xdr:to>
          <xdr:col>8</xdr:col>
          <xdr:colOff>175260</xdr:colOff>
          <xdr:row>37</xdr:row>
          <xdr:rowOff>106680</xdr:rowOff>
        </xdr:to>
        <xdr:sp macro="" textlink="">
          <xdr:nvSpPr>
            <xdr:cNvPr id="7223" name="custeff1label"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36</xdr:row>
          <xdr:rowOff>0</xdr:rowOff>
        </xdr:from>
        <xdr:to>
          <xdr:col>11</xdr:col>
          <xdr:colOff>251460</xdr:colOff>
          <xdr:row>37</xdr:row>
          <xdr:rowOff>106680</xdr:rowOff>
        </xdr:to>
        <xdr:sp macro="" textlink="">
          <xdr:nvSpPr>
            <xdr:cNvPr id="7224" name="custeff2label"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36</xdr:row>
          <xdr:rowOff>0</xdr:rowOff>
        </xdr:from>
        <xdr:to>
          <xdr:col>14</xdr:col>
          <xdr:colOff>327660</xdr:colOff>
          <xdr:row>37</xdr:row>
          <xdr:rowOff>106680</xdr:rowOff>
        </xdr:to>
        <xdr:sp macro="" textlink="">
          <xdr:nvSpPr>
            <xdr:cNvPr id="7225" name="custeff3label"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38</xdr:row>
          <xdr:rowOff>68580</xdr:rowOff>
        </xdr:from>
        <xdr:to>
          <xdr:col>7</xdr:col>
          <xdr:colOff>518160</xdr:colOff>
          <xdr:row>39</xdr:row>
          <xdr:rowOff>182880</xdr:rowOff>
        </xdr:to>
        <xdr:sp macro="" textlink="">
          <xdr:nvSpPr>
            <xdr:cNvPr id="7226" name="eff1text"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68580</xdr:rowOff>
        </xdr:from>
        <xdr:to>
          <xdr:col>11</xdr:col>
          <xdr:colOff>7620</xdr:colOff>
          <xdr:row>39</xdr:row>
          <xdr:rowOff>182880</xdr:rowOff>
        </xdr:to>
        <xdr:sp macro="" textlink="">
          <xdr:nvSpPr>
            <xdr:cNvPr id="7227" name="eff2text"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297180</xdr:colOff>
          <xdr:row>38</xdr:row>
          <xdr:rowOff>68580</xdr:rowOff>
        </xdr:from>
        <xdr:to>
          <xdr:col>14</xdr:col>
          <xdr:colOff>114300</xdr:colOff>
          <xdr:row>39</xdr:row>
          <xdr:rowOff>182880</xdr:rowOff>
        </xdr:to>
        <xdr:sp macro="" textlink="">
          <xdr:nvSpPr>
            <xdr:cNvPr id="7228" name="eff3text"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xdr:row>
          <xdr:rowOff>30480</xdr:rowOff>
        </xdr:from>
        <xdr:to>
          <xdr:col>15</xdr:col>
          <xdr:colOff>213360</xdr:colOff>
          <xdr:row>3</xdr:row>
          <xdr:rowOff>30480</xdr:rowOff>
        </xdr:to>
        <xdr:sp macro="" textlink="">
          <xdr:nvSpPr>
            <xdr:cNvPr id="7230" name="Label1"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xdr:row>
          <xdr:rowOff>0</xdr:rowOff>
        </xdr:from>
        <xdr:to>
          <xdr:col>2</xdr:col>
          <xdr:colOff>30480</xdr:colOff>
          <xdr:row>3</xdr:row>
          <xdr:rowOff>30480</xdr:rowOff>
        </xdr:to>
        <xdr:sp macro="" textlink="">
          <xdr:nvSpPr>
            <xdr:cNvPr id="7231" name="homecropinput"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457200</xdr:colOff>
          <xdr:row>1</xdr:row>
          <xdr:rowOff>0</xdr:rowOff>
        </xdr:from>
        <xdr:to>
          <xdr:col>17</xdr:col>
          <xdr:colOff>182880</xdr:colOff>
          <xdr:row>3</xdr:row>
          <xdr:rowOff>68580</xdr:rowOff>
        </xdr:to>
        <xdr:sp macro="" textlink="">
          <xdr:nvSpPr>
            <xdr:cNvPr id="7233" name="CommandButton1"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13</xdr:row>
          <xdr:rowOff>160020</xdr:rowOff>
        </xdr:from>
        <xdr:to>
          <xdr:col>8</xdr:col>
          <xdr:colOff>365760</xdr:colOff>
          <xdr:row>15</xdr:row>
          <xdr:rowOff>45720</xdr:rowOff>
        </xdr:to>
        <xdr:sp macro="" textlink="">
          <xdr:nvSpPr>
            <xdr:cNvPr id="7234" name="DC1"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13</xdr:row>
          <xdr:rowOff>160020</xdr:rowOff>
        </xdr:from>
        <xdr:to>
          <xdr:col>11</xdr:col>
          <xdr:colOff>419100</xdr:colOff>
          <xdr:row>15</xdr:row>
          <xdr:rowOff>45720</xdr:rowOff>
        </xdr:to>
        <xdr:sp macro="" textlink="">
          <xdr:nvSpPr>
            <xdr:cNvPr id="7235" name="DC2"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6</xdr:row>
          <xdr:rowOff>121920</xdr:rowOff>
        </xdr:from>
        <xdr:to>
          <xdr:col>3</xdr:col>
          <xdr:colOff>525780</xdr:colOff>
          <xdr:row>13</xdr:row>
          <xdr:rowOff>68580</xdr:rowOff>
        </xdr:to>
        <xdr:sp macro="" textlink="">
          <xdr:nvSpPr>
            <xdr:cNvPr id="58370" name="Livestock1list" hidden="1">
              <a:extLst>
                <a:ext uri="{63B3BB69-23CF-44E3-9099-C40C66FF867C}">
                  <a14:compatExt spid="_x0000_s58370"/>
                </a:ext>
                <a:ext uri="{FF2B5EF4-FFF2-40B4-BE49-F238E27FC236}">
                  <a16:creationId xmlns:a16="http://schemas.microsoft.com/office/drawing/2014/main" id="{00000000-0008-0000-0200-000002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6</xdr:row>
          <xdr:rowOff>121920</xdr:rowOff>
        </xdr:from>
        <xdr:to>
          <xdr:col>7</xdr:col>
          <xdr:colOff>236220</xdr:colOff>
          <xdr:row>13</xdr:row>
          <xdr:rowOff>68580</xdr:rowOff>
        </xdr:to>
        <xdr:sp macro="" textlink="">
          <xdr:nvSpPr>
            <xdr:cNvPr id="58372" name="livestock2list" hidden="1">
              <a:extLst>
                <a:ext uri="{63B3BB69-23CF-44E3-9099-C40C66FF867C}">
                  <a14:compatExt spid="_x0000_s58372"/>
                </a:ext>
                <a:ext uri="{FF2B5EF4-FFF2-40B4-BE49-F238E27FC236}">
                  <a16:creationId xmlns:a16="http://schemas.microsoft.com/office/drawing/2014/main" id="{00000000-0008-0000-0200-000004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xdr:row>
          <xdr:rowOff>121920</xdr:rowOff>
        </xdr:from>
        <xdr:to>
          <xdr:col>10</xdr:col>
          <xdr:colOff>571500</xdr:colOff>
          <xdr:row>13</xdr:row>
          <xdr:rowOff>68580</xdr:rowOff>
        </xdr:to>
        <xdr:sp macro="" textlink="">
          <xdr:nvSpPr>
            <xdr:cNvPr id="58373" name="livestock3list" hidden="1">
              <a:extLst>
                <a:ext uri="{63B3BB69-23CF-44E3-9099-C40C66FF867C}">
                  <a14:compatExt spid="_x0000_s58373"/>
                </a:ext>
                <a:ext uri="{FF2B5EF4-FFF2-40B4-BE49-F238E27FC236}">
                  <a16:creationId xmlns:a16="http://schemas.microsoft.com/office/drawing/2014/main" id="{00000000-0008-0000-0200-000005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14</xdr:row>
          <xdr:rowOff>121920</xdr:rowOff>
        </xdr:from>
        <xdr:to>
          <xdr:col>2</xdr:col>
          <xdr:colOff>38100</xdr:colOff>
          <xdr:row>16</xdr:row>
          <xdr:rowOff>45720</xdr:rowOff>
        </xdr:to>
        <xdr:sp macro="" textlink="">
          <xdr:nvSpPr>
            <xdr:cNvPr id="58374" name="live1text" hidden="1">
              <a:extLst>
                <a:ext uri="{63B3BB69-23CF-44E3-9099-C40C66FF867C}">
                  <a14:compatExt spid="_x0000_s58374"/>
                </a:ext>
                <a:ext uri="{FF2B5EF4-FFF2-40B4-BE49-F238E27FC236}">
                  <a16:creationId xmlns:a16="http://schemas.microsoft.com/office/drawing/2014/main" id="{00000000-0008-0000-0200-000006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121920</xdr:rowOff>
        </xdr:from>
        <xdr:to>
          <xdr:col>5</xdr:col>
          <xdr:colOff>411480</xdr:colOff>
          <xdr:row>16</xdr:row>
          <xdr:rowOff>83820</xdr:rowOff>
        </xdr:to>
        <xdr:sp macro="" textlink="">
          <xdr:nvSpPr>
            <xdr:cNvPr id="58375" name="live2text" hidden="1">
              <a:extLst>
                <a:ext uri="{63B3BB69-23CF-44E3-9099-C40C66FF867C}">
                  <a14:compatExt spid="_x0000_s58375"/>
                </a:ext>
                <a:ext uri="{FF2B5EF4-FFF2-40B4-BE49-F238E27FC236}">
                  <a16:creationId xmlns:a16="http://schemas.microsoft.com/office/drawing/2014/main" id="{00000000-0008-0000-0200-000007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xdr:row>
          <xdr:rowOff>121920</xdr:rowOff>
        </xdr:from>
        <xdr:to>
          <xdr:col>9</xdr:col>
          <xdr:colOff>137160</xdr:colOff>
          <xdr:row>16</xdr:row>
          <xdr:rowOff>83820</xdr:rowOff>
        </xdr:to>
        <xdr:sp macro="" textlink="">
          <xdr:nvSpPr>
            <xdr:cNvPr id="58377" name="live3text" hidden="1">
              <a:extLst>
                <a:ext uri="{63B3BB69-23CF-44E3-9099-C40C66FF867C}">
                  <a14:compatExt spid="_x0000_s58377"/>
                </a:ext>
                <a:ext uri="{FF2B5EF4-FFF2-40B4-BE49-F238E27FC236}">
                  <a16:creationId xmlns:a16="http://schemas.microsoft.com/office/drawing/2014/main" id="{00000000-0008-0000-0200-000009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6</xdr:row>
          <xdr:rowOff>121920</xdr:rowOff>
        </xdr:from>
        <xdr:to>
          <xdr:col>14</xdr:col>
          <xdr:colOff>297180</xdr:colOff>
          <xdr:row>13</xdr:row>
          <xdr:rowOff>68580</xdr:rowOff>
        </xdr:to>
        <xdr:sp macro="" textlink="">
          <xdr:nvSpPr>
            <xdr:cNvPr id="58378" name="livestock4list" hidden="1">
              <a:extLst>
                <a:ext uri="{63B3BB69-23CF-44E3-9099-C40C66FF867C}">
                  <a14:compatExt spid="_x0000_s58378"/>
                </a:ext>
                <a:ext uri="{FF2B5EF4-FFF2-40B4-BE49-F238E27FC236}">
                  <a16:creationId xmlns:a16="http://schemas.microsoft.com/office/drawing/2014/main" id="{00000000-0008-0000-0200-00000A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14</xdr:row>
          <xdr:rowOff>121920</xdr:rowOff>
        </xdr:from>
        <xdr:to>
          <xdr:col>12</xdr:col>
          <xdr:colOff>464820</xdr:colOff>
          <xdr:row>16</xdr:row>
          <xdr:rowOff>83820</xdr:rowOff>
        </xdr:to>
        <xdr:sp macro="" textlink="">
          <xdr:nvSpPr>
            <xdr:cNvPr id="58380" name="live4text" hidden="1">
              <a:extLst>
                <a:ext uri="{63B3BB69-23CF-44E3-9099-C40C66FF867C}">
                  <a14:compatExt spid="_x0000_s58380"/>
                </a:ext>
                <a:ext uri="{FF2B5EF4-FFF2-40B4-BE49-F238E27FC236}">
                  <a16:creationId xmlns:a16="http://schemas.microsoft.com/office/drawing/2014/main" id="{00000000-0008-0000-0200-00000C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0</xdr:row>
          <xdr:rowOff>83820</xdr:rowOff>
        </xdr:from>
        <xdr:to>
          <xdr:col>14</xdr:col>
          <xdr:colOff>251460</xdr:colOff>
          <xdr:row>2</xdr:row>
          <xdr:rowOff>83820</xdr:rowOff>
        </xdr:to>
        <xdr:sp macro="" textlink="">
          <xdr:nvSpPr>
            <xdr:cNvPr id="58381" name="Label1" hidden="1">
              <a:extLst>
                <a:ext uri="{63B3BB69-23CF-44E3-9099-C40C66FF867C}">
                  <a14:compatExt spid="_x0000_s58381"/>
                </a:ext>
                <a:ext uri="{FF2B5EF4-FFF2-40B4-BE49-F238E27FC236}">
                  <a16:creationId xmlns:a16="http://schemas.microsoft.com/office/drawing/2014/main" id="{00000000-0008-0000-0200-00000D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xdr:row>
          <xdr:rowOff>0</xdr:rowOff>
        </xdr:from>
        <xdr:to>
          <xdr:col>3</xdr:col>
          <xdr:colOff>304800</xdr:colOff>
          <xdr:row>6</xdr:row>
          <xdr:rowOff>83820</xdr:rowOff>
        </xdr:to>
        <xdr:sp macro="" textlink="">
          <xdr:nvSpPr>
            <xdr:cNvPr id="58382" name="livecheck1" hidden="1">
              <a:extLst>
                <a:ext uri="{63B3BB69-23CF-44E3-9099-C40C66FF867C}">
                  <a14:compatExt spid="_x0000_s58382"/>
                </a:ext>
                <a:ext uri="{FF2B5EF4-FFF2-40B4-BE49-F238E27FC236}">
                  <a16:creationId xmlns:a16="http://schemas.microsoft.com/office/drawing/2014/main" id="{00000000-0008-0000-0200-00000E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xdr:row>
          <xdr:rowOff>0</xdr:rowOff>
        </xdr:from>
        <xdr:to>
          <xdr:col>6</xdr:col>
          <xdr:colOff>571500</xdr:colOff>
          <xdr:row>6</xdr:row>
          <xdr:rowOff>76200</xdr:rowOff>
        </xdr:to>
        <xdr:sp macro="" textlink="">
          <xdr:nvSpPr>
            <xdr:cNvPr id="58383" name="livecheck2" hidden="1">
              <a:extLst>
                <a:ext uri="{63B3BB69-23CF-44E3-9099-C40C66FF867C}">
                  <a14:compatExt spid="_x0000_s58383"/>
                </a:ext>
                <a:ext uri="{FF2B5EF4-FFF2-40B4-BE49-F238E27FC236}">
                  <a16:creationId xmlns:a16="http://schemas.microsoft.com/office/drawing/2014/main" id="{00000000-0008-0000-0200-00000F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xdr:row>
          <xdr:rowOff>0</xdr:rowOff>
        </xdr:from>
        <xdr:to>
          <xdr:col>10</xdr:col>
          <xdr:colOff>381000</xdr:colOff>
          <xdr:row>6</xdr:row>
          <xdr:rowOff>38100</xdr:rowOff>
        </xdr:to>
        <xdr:sp macro="" textlink="">
          <xdr:nvSpPr>
            <xdr:cNvPr id="58384" name="livecheck3" hidden="1">
              <a:extLst>
                <a:ext uri="{63B3BB69-23CF-44E3-9099-C40C66FF867C}">
                  <a14:compatExt spid="_x0000_s58384"/>
                </a:ext>
                <a:ext uri="{FF2B5EF4-FFF2-40B4-BE49-F238E27FC236}">
                  <a16:creationId xmlns:a16="http://schemas.microsoft.com/office/drawing/2014/main" id="{00000000-0008-0000-0200-000010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3</xdr:row>
          <xdr:rowOff>0</xdr:rowOff>
        </xdr:from>
        <xdr:to>
          <xdr:col>14</xdr:col>
          <xdr:colOff>175260</xdr:colOff>
          <xdr:row>6</xdr:row>
          <xdr:rowOff>160020</xdr:rowOff>
        </xdr:to>
        <xdr:sp macro="" textlink="">
          <xdr:nvSpPr>
            <xdr:cNvPr id="58385" name="livecheck4" hidden="1">
              <a:extLst>
                <a:ext uri="{63B3BB69-23CF-44E3-9099-C40C66FF867C}">
                  <a14:compatExt spid="_x0000_s58385"/>
                </a:ext>
                <a:ext uri="{FF2B5EF4-FFF2-40B4-BE49-F238E27FC236}">
                  <a16:creationId xmlns:a16="http://schemas.microsoft.com/office/drawing/2014/main" id="{00000000-0008-0000-0200-000011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14</xdr:row>
          <xdr:rowOff>121920</xdr:rowOff>
        </xdr:from>
        <xdr:to>
          <xdr:col>3</xdr:col>
          <xdr:colOff>419100</xdr:colOff>
          <xdr:row>16</xdr:row>
          <xdr:rowOff>7620</xdr:rowOff>
        </xdr:to>
        <xdr:sp macro="" textlink="">
          <xdr:nvSpPr>
            <xdr:cNvPr id="58386" name="live1textlabel" hidden="1">
              <a:extLst>
                <a:ext uri="{63B3BB69-23CF-44E3-9099-C40C66FF867C}">
                  <a14:compatExt spid="_x0000_s58386"/>
                </a:ext>
                <a:ext uri="{FF2B5EF4-FFF2-40B4-BE49-F238E27FC236}">
                  <a16:creationId xmlns:a16="http://schemas.microsoft.com/office/drawing/2014/main" id="{00000000-0008-0000-0200-000012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14</xdr:row>
          <xdr:rowOff>121920</xdr:rowOff>
        </xdr:from>
        <xdr:to>
          <xdr:col>7</xdr:col>
          <xdr:colOff>213360</xdr:colOff>
          <xdr:row>16</xdr:row>
          <xdr:rowOff>38100</xdr:rowOff>
        </xdr:to>
        <xdr:sp macro="" textlink="">
          <xdr:nvSpPr>
            <xdr:cNvPr id="58387" name="live2textlabel" hidden="1">
              <a:extLst>
                <a:ext uri="{63B3BB69-23CF-44E3-9099-C40C66FF867C}">
                  <a14:compatExt spid="_x0000_s58387"/>
                </a:ext>
                <a:ext uri="{FF2B5EF4-FFF2-40B4-BE49-F238E27FC236}">
                  <a16:creationId xmlns:a16="http://schemas.microsoft.com/office/drawing/2014/main" id="{00000000-0008-0000-0200-000013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14</xdr:row>
          <xdr:rowOff>121920</xdr:rowOff>
        </xdr:from>
        <xdr:to>
          <xdr:col>10</xdr:col>
          <xdr:colOff>541020</xdr:colOff>
          <xdr:row>16</xdr:row>
          <xdr:rowOff>38100</xdr:rowOff>
        </xdr:to>
        <xdr:sp macro="" textlink="">
          <xdr:nvSpPr>
            <xdr:cNvPr id="58388" name="live3textlabel" hidden="1">
              <a:extLst>
                <a:ext uri="{63B3BB69-23CF-44E3-9099-C40C66FF867C}">
                  <a14:compatExt spid="_x0000_s58388"/>
                </a:ext>
                <a:ext uri="{FF2B5EF4-FFF2-40B4-BE49-F238E27FC236}">
                  <a16:creationId xmlns:a16="http://schemas.microsoft.com/office/drawing/2014/main" id="{00000000-0008-0000-0200-000014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14</xdr:row>
          <xdr:rowOff>121920</xdr:rowOff>
        </xdr:from>
        <xdr:to>
          <xdr:col>14</xdr:col>
          <xdr:colOff>266700</xdr:colOff>
          <xdr:row>16</xdr:row>
          <xdr:rowOff>38100</xdr:rowOff>
        </xdr:to>
        <xdr:sp macro="" textlink="">
          <xdr:nvSpPr>
            <xdr:cNvPr id="58389" name="live4textlabel" hidden="1">
              <a:extLst>
                <a:ext uri="{63B3BB69-23CF-44E3-9099-C40C66FF867C}">
                  <a14:compatExt spid="_x0000_s58389"/>
                </a:ext>
                <a:ext uri="{FF2B5EF4-FFF2-40B4-BE49-F238E27FC236}">
                  <a16:creationId xmlns:a16="http://schemas.microsoft.com/office/drawing/2014/main" id="{00000000-0008-0000-0200-000015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0</xdr:row>
          <xdr:rowOff>99060</xdr:rowOff>
        </xdr:from>
        <xdr:to>
          <xdr:col>1</xdr:col>
          <xdr:colOff>464820</xdr:colOff>
          <xdr:row>2</xdr:row>
          <xdr:rowOff>121920</xdr:rowOff>
        </xdr:to>
        <xdr:sp macro="" textlink="">
          <xdr:nvSpPr>
            <xdr:cNvPr id="58390" name="homelivestock" hidden="1">
              <a:extLst>
                <a:ext uri="{63B3BB69-23CF-44E3-9099-C40C66FF867C}">
                  <a14:compatExt spid="_x0000_s58390"/>
                </a:ext>
                <a:ext uri="{FF2B5EF4-FFF2-40B4-BE49-F238E27FC236}">
                  <a16:creationId xmlns:a16="http://schemas.microsoft.com/office/drawing/2014/main" id="{00000000-0008-0000-0200-000016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114300</xdr:rowOff>
        </xdr:from>
        <xdr:to>
          <xdr:col>16</xdr:col>
          <xdr:colOff>335280</xdr:colOff>
          <xdr:row>2</xdr:row>
          <xdr:rowOff>182880</xdr:rowOff>
        </xdr:to>
        <xdr:sp macro="" textlink="">
          <xdr:nvSpPr>
            <xdr:cNvPr id="58392" name="CommandButton1" hidden="1">
              <a:extLst>
                <a:ext uri="{63B3BB69-23CF-44E3-9099-C40C66FF867C}">
                  <a14:compatExt spid="_x0000_s58392"/>
                </a:ext>
                <a:ext uri="{FF2B5EF4-FFF2-40B4-BE49-F238E27FC236}">
                  <a16:creationId xmlns:a16="http://schemas.microsoft.com/office/drawing/2014/main" id="{00000000-0008-0000-0200-000018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10</xdr:col>
          <xdr:colOff>502920</xdr:colOff>
          <xdr:row>28</xdr:row>
          <xdr:rowOff>121920</xdr:rowOff>
        </xdr:to>
        <xdr:sp macro="" textlink="">
          <xdr:nvSpPr>
            <xdr:cNvPr id="17409" name="covlist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12</xdr:row>
          <xdr:rowOff>0</xdr:rowOff>
        </xdr:from>
        <xdr:to>
          <xdr:col>15</xdr:col>
          <xdr:colOff>502920</xdr:colOff>
          <xdr:row>28</xdr:row>
          <xdr:rowOff>121920</xdr:rowOff>
        </xdr:to>
        <xdr:sp macro="" textlink="">
          <xdr:nvSpPr>
            <xdr:cNvPr id="17410" name="covlist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411480</xdr:colOff>
          <xdr:row>12</xdr:row>
          <xdr:rowOff>0</xdr:rowOff>
        </xdr:from>
        <xdr:to>
          <xdr:col>21</xdr:col>
          <xdr:colOff>152400</xdr:colOff>
          <xdr:row>28</xdr:row>
          <xdr:rowOff>121920</xdr:rowOff>
        </xdr:to>
        <xdr:sp macro="" textlink="">
          <xdr:nvSpPr>
            <xdr:cNvPr id="17411" name="covlist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31</xdr:row>
          <xdr:rowOff>121920</xdr:rowOff>
        </xdr:from>
        <xdr:to>
          <xdr:col>8</xdr:col>
          <xdr:colOff>373380</xdr:colOff>
          <xdr:row>33</xdr:row>
          <xdr:rowOff>45720</xdr:rowOff>
        </xdr:to>
        <xdr:sp macro="" textlink="">
          <xdr:nvSpPr>
            <xdr:cNvPr id="17418" name="watarea1text"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563880</xdr:colOff>
          <xdr:row>31</xdr:row>
          <xdr:rowOff>121920</xdr:rowOff>
        </xdr:from>
        <xdr:to>
          <xdr:col>13</xdr:col>
          <xdr:colOff>365760</xdr:colOff>
          <xdr:row>33</xdr:row>
          <xdr:rowOff>99060</xdr:rowOff>
        </xdr:to>
        <xdr:sp macro="" textlink="">
          <xdr:nvSpPr>
            <xdr:cNvPr id="17419" name="watarea2text"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403860</xdr:colOff>
          <xdr:row>31</xdr:row>
          <xdr:rowOff>121920</xdr:rowOff>
        </xdr:from>
        <xdr:to>
          <xdr:col>19</xdr:col>
          <xdr:colOff>266700</xdr:colOff>
          <xdr:row>33</xdr:row>
          <xdr:rowOff>68580</xdr:rowOff>
        </xdr:to>
        <xdr:sp macro="" textlink="">
          <xdr:nvSpPr>
            <xdr:cNvPr id="17420" name="watarea3text"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32</xdr:row>
          <xdr:rowOff>0</xdr:rowOff>
        </xdr:from>
        <xdr:to>
          <xdr:col>10</xdr:col>
          <xdr:colOff>228600</xdr:colOff>
          <xdr:row>33</xdr:row>
          <xdr:rowOff>106680</xdr:rowOff>
        </xdr:to>
        <xdr:sp macro="" textlink="">
          <xdr:nvSpPr>
            <xdr:cNvPr id="17421" name="watershed1arealabel" hidden="1">
              <a:extLst>
                <a:ext uri="{63B3BB69-23CF-44E3-9099-C40C66FF867C}">
                  <a14:compatExt spid="_x0000_s17421"/>
                </a:ext>
                <a:ext uri="{FF2B5EF4-FFF2-40B4-BE49-F238E27FC236}">
                  <a16:creationId xmlns:a16="http://schemas.microsoft.com/office/drawing/2014/main" id="{00000000-0008-0000-03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32</xdr:row>
          <xdr:rowOff>0</xdr:rowOff>
        </xdr:from>
        <xdr:to>
          <xdr:col>15</xdr:col>
          <xdr:colOff>228600</xdr:colOff>
          <xdr:row>33</xdr:row>
          <xdr:rowOff>106680</xdr:rowOff>
        </xdr:to>
        <xdr:sp macro="" textlink="">
          <xdr:nvSpPr>
            <xdr:cNvPr id="17422" name="watershed2arealabel" hidden="1">
              <a:extLst>
                <a:ext uri="{63B3BB69-23CF-44E3-9099-C40C66FF867C}">
                  <a14:compatExt spid="_x0000_s17422"/>
                </a:ext>
                <a:ext uri="{FF2B5EF4-FFF2-40B4-BE49-F238E27FC236}">
                  <a16:creationId xmlns:a16="http://schemas.microsoft.com/office/drawing/2014/main" id="{00000000-0008-0000-03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487680</xdr:colOff>
          <xdr:row>32</xdr:row>
          <xdr:rowOff>0</xdr:rowOff>
        </xdr:from>
        <xdr:to>
          <xdr:col>20</xdr:col>
          <xdr:colOff>609600</xdr:colOff>
          <xdr:row>33</xdr:row>
          <xdr:rowOff>106680</xdr:rowOff>
        </xdr:to>
        <xdr:sp macro="" textlink="">
          <xdr:nvSpPr>
            <xdr:cNvPr id="17423" name="watershed3arealabel" hidden="1">
              <a:extLst>
                <a:ext uri="{63B3BB69-23CF-44E3-9099-C40C66FF867C}">
                  <a14:compatExt spid="_x0000_s17423"/>
                </a:ext>
                <a:ext uri="{FF2B5EF4-FFF2-40B4-BE49-F238E27FC236}">
                  <a16:creationId xmlns:a16="http://schemas.microsoft.com/office/drawing/2014/main" id="{00000000-0008-0000-03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99060</xdr:rowOff>
        </xdr:from>
        <xdr:to>
          <xdr:col>9</xdr:col>
          <xdr:colOff>342900</xdr:colOff>
          <xdr:row>9</xdr:row>
          <xdr:rowOff>160020</xdr:rowOff>
        </xdr:to>
        <xdr:sp macro="" textlink="">
          <xdr:nvSpPr>
            <xdr:cNvPr id="17424" name="wat1check" hidden="1">
              <a:extLst>
                <a:ext uri="{63B3BB69-23CF-44E3-9099-C40C66FF867C}">
                  <a14:compatExt spid="_x0000_s17424"/>
                </a:ext>
                <a:ext uri="{FF2B5EF4-FFF2-40B4-BE49-F238E27FC236}">
                  <a16:creationId xmlns:a16="http://schemas.microsoft.com/office/drawing/2014/main" id="{00000000-0008-0000-03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7</xdr:row>
          <xdr:rowOff>106680</xdr:rowOff>
        </xdr:from>
        <xdr:to>
          <xdr:col>14</xdr:col>
          <xdr:colOff>327660</xdr:colOff>
          <xdr:row>9</xdr:row>
          <xdr:rowOff>144780</xdr:rowOff>
        </xdr:to>
        <xdr:sp macro="" textlink="">
          <xdr:nvSpPr>
            <xdr:cNvPr id="17425" name="wat2check" hidden="1">
              <a:extLst>
                <a:ext uri="{63B3BB69-23CF-44E3-9099-C40C66FF867C}">
                  <a14:compatExt spid="_x0000_s17425"/>
                </a:ext>
                <a:ext uri="{FF2B5EF4-FFF2-40B4-BE49-F238E27FC236}">
                  <a16:creationId xmlns:a16="http://schemas.microsoft.com/office/drawing/2014/main" id="{00000000-0008-0000-03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7</xdr:row>
          <xdr:rowOff>121920</xdr:rowOff>
        </xdr:from>
        <xdr:to>
          <xdr:col>19</xdr:col>
          <xdr:colOff>198120</xdr:colOff>
          <xdr:row>10</xdr:row>
          <xdr:rowOff>22860</xdr:rowOff>
        </xdr:to>
        <xdr:sp macro="" textlink="">
          <xdr:nvSpPr>
            <xdr:cNvPr id="17426" name="wat3check" hidden="1">
              <a:extLst>
                <a:ext uri="{63B3BB69-23CF-44E3-9099-C40C66FF867C}">
                  <a14:compatExt spid="_x0000_s17426"/>
                </a:ext>
                <a:ext uri="{FF2B5EF4-FFF2-40B4-BE49-F238E27FC236}">
                  <a16:creationId xmlns:a16="http://schemas.microsoft.com/office/drawing/2014/main" id="{00000000-0008-0000-0300-00001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335280</xdr:colOff>
          <xdr:row>7</xdr:row>
          <xdr:rowOff>106680</xdr:rowOff>
        </xdr:from>
        <xdr:to>
          <xdr:col>2</xdr:col>
          <xdr:colOff>137160</xdr:colOff>
          <xdr:row>8</xdr:row>
          <xdr:rowOff>137160</xdr:rowOff>
        </xdr:to>
        <xdr:sp macro="" textlink="">
          <xdr:nvSpPr>
            <xdr:cNvPr id="17429" name="watershedareatext" hidden="1">
              <a:extLst>
                <a:ext uri="{63B3BB69-23CF-44E3-9099-C40C66FF867C}">
                  <a14:compatExt spid="_x0000_s17429"/>
                </a:ext>
                <a:ext uri="{FF2B5EF4-FFF2-40B4-BE49-F238E27FC236}">
                  <a16:creationId xmlns:a16="http://schemas.microsoft.com/office/drawing/2014/main" id="{00000000-0008-0000-0300-00001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7</xdr:row>
          <xdr:rowOff>45720</xdr:rowOff>
        </xdr:from>
        <xdr:to>
          <xdr:col>4</xdr:col>
          <xdr:colOff>182880</xdr:colOff>
          <xdr:row>9</xdr:row>
          <xdr:rowOff>0</xdr:rowOff>
        </xdr:to>
        <xdr:sp macro="" textlink="">
          <xdr:nvSpPr>
            <xdr:cNvPr id="17430" name="watershedarealabel" hidden="1">
              <a:extLst>
                <a:ext uri="{63B3BB69-23CF-44E3-9099-C40C66FF867C}">
                  <a14:compatExt spid="_x0000_s17430"/>
                </a:ext>
                <a:ext uri="{FF2B5EF4-FFF2-40B4-BE49-F238E27FC236}">
                  <a16:creationId xmlns:a16="http://schemas.microsoft.com/office/drawing/2014/main" id="{00000000-0008-0000-0300-00001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xdr:row>
          <xdr:rowOff>0</xdr:rowOff>
        </xdr:from>
        <xdr:to>
          <xdr:col>5</xdr:col>
          <xdr:colOff>563880</xdr:colOff>
          <xdr:row>35</xdr:row>
          <xdr:rowOff>68580</xdr:rowOff>
        </xdr:to>
        <xdr:sp macro="" textlink="">
          <xdr:nvSpPr>
            <xdr:cNvPr id="17431" name="Soillist" hidden="1">
              <a:extLst>
                <a:ext uri="{63B3BB69-23CF-44E3-9099-C40C66FF867C}">
                  <a14:compatExt spid="_x0000_s17431"/>
                </a:ext>
                <a:ext uri="{FF2B5EF4-FFF2-40B4-BE49-F238E27FC236}">
                  <a16:creationId xmlns:a16="http://schemas.microsoft.com/office/drawing/2014/main" id="{00000000-0008-0000-0300-00001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0</xdr:row>
          <xdr:rowOff>60960</xdr:rowOff>
        </xdr:from>
        <xdr:to>
          <xdr:col>15</xdr:col>
          <xdr:colOff>274320</xdr:colOff>
          <xdr:row>2</xdr:row>
          <xdr:rowOff>60960</xdr:rowOff>
        </xdr:to>
        <xdr:sp macro="" textlink="">
          <xdr:nvSpPr>
            <xdr:cNvPr id="17433" name="Label6" hidden="1">
              <a:extLst>
                <a:ext uri="{63B3BB69-23CF-44E3-9099-C40C66FF867C}">
                  <a14:compatExt spid="_x0000_s17433"/>
                </a:ext>
                <a:ext uri="{FF2B5EF4-FFF2-40B4-BE49-F238E27FC236}">
                  <a16:creationId xmlns:a16="http://schemas.microsoft.com/office/drawing/2014/main" id="{00000000-0008-0000-0300-00001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3</xdr:row>
          <xdr:rowOff>38100</xdr:rowOff>
        </xdr:from>
        <xdr:to>
          <xdr:col>4</xdr:col>
          <xdr:colOff>213360</xdr:colOff>
          <xdr:row>4</xdr:row>
          <xdr:rowOff>144780</xdr:rowOff>
        </xdr:to>
        <xdr:sp macro="" textlink="">
          <xdr:nvSpPr>
            <xdr:cNvPr id="17434" name="runoffcheck1" hidden="1">
              <a:extLst>
                <a:ext uri="{63B3BB69-23CF-44E3-9099-C40C66FF867C}">
                  <a14:compatExt spid="_x0000_s17434"/>
                </a:ext>
                <a:ext uri="{FF2B5EF4-FFF2-40B4-BE49-F238E27FC236}">
                  <a16:creationId xmlns:a16="http://schemas.microsoft.com/office/drawing/2014/main" id="{00000000-0008-0000-0300-00001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5</xdr:row>
          <xdr:rowOff>30480</xdr:rowOff>
        </xdr:from>
        <xdr:to>
          <xdr:col>4</xdr:col>
          <xdr:colOff>190500</xdr:colOff>
          <xdr:row>6</xdr:row>
          <xdr:rowOff>137160</xdr:rowOff>
        </xdr:to>
        <xdr:sp macro="" textlink="">
          <xdr:nvSpPr>
            <xdr:cNvPr id="17435" name="runoffcheck2" hidden="1">
              <a:extLst>
                <a:ext uri="{63B3BB69-23CF-44E3-9099-C40C66FF867C}">
                  <a14:compatExt spid="_x0000_s17435"/>
                </a:ext>
                <a:ext uri="{FF2B5EF4-FFF2-40B4-BE49-F238E27FC236}">
                  <a16:creationId xmlns:a16="http://schemas.microsoft.com/office/drawing/2014/main" id="{00000000-0008-0000-0300-00001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0</xdr:row>
          <xdr:rowOff>68580</xdr:rowOff>
        </xdr:from>
        <xdr:to>
          <xdr:col>1</xdr:col>
          <xdr:colOff>274320</xdr:colOff>
          <xdr:row>2</xdr:row>
          <xdr:rowOff>60960</xdr:rowOff>
        </xdr:to>
        <xdr:sp macro="" textlink="">
          <xdr:nvSpPr>
            <xdr:cNvPr id="17436" name="CommandButton1" hidden="1">
              <a:extLst>
                <a:ext uri="{63B3BB69-23CF-44E3-9099-C40C66FF867C}">
                  <a14:compatExt spid="_x0000_s17436"/>
                </a:ext>
                <a:ext uri="{FF2B5EF4-FFF2-40B4-BE49-F238E27FC236}">
                  <a16:creationId xmlns:a16="http://schemas.microsoft.com/office/drawing/2014/main" id="{00000000-0008-0000-0300-00001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0</xdr:row>
          <xdr:rowOff>76200</xdr:rowOff>
        </xdr:from>
        <xdr:to>
          <xdr:col>17</xdr:col>
          <xdr:colOff>297180</xdr:colOff>
          <xdr:row>2</xdr:row>
          <xdr:rowOff>144780</xdr:rowOff>
        </xdr:to>
        <xdr:sp macro="" textlink="">
          <xdr:nvSpPr>
            <xdr:cNvPr id="17437" name="CommandButton2" hidden="1">
              <a:extLst>
                <a:ext uri="{63B3BB69-23CF-44E3-9099-C40C66FF867C}">
                  <a14:compatExt spid="_x0000_s17437"/>
                </a:ext>
                <a:ext uri="{FF2B5EF4-FFF2-40B4-BE49-F238E27FC236}">
                  <a16:creationId xmlns:a16="http://schemas.microsoft.com/office/drawing/2014/main" id="{00000000-0008-0000-0300-00001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7620</xdr:rowOff>
        </xdr:from>
        <xdr:to>
          <xdr:col>1</xdr:col>
          <xdr:colOff>228600</xdr:colOff>
          <xdr:row>2</xdr:row>
          <xdr:rowOff>22860</xdr:rowOff>
        </xdr:to>
        <xdr:sp macro="" textlink="">
          <xdr:nvSpPr>
            <xdr:cNvPr id="47105" name="CommandButton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0</xdr:row>
          <xdr:rowOff>76200</xdr:rowOff>
        </xdr:from>
        <xdr:to>
          <xdr:col>14</xdr:col>
          <xdr:colOff>449580</xdr:colOff>
          <xdr:row>2</xdr:row>
          <xdr:rowOff>121920</xdr:rowOff>
        </xdr:to>
        <xdr:sp macro="" textlink="">
          <xdr:nvSpPr>
            <xdr:cNvPr id="47106" name="CommandButton2"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419100</xdr:colOff>
          <xdr:row>3</xdr:row>
          <xdr:rowOff>0</xdr:rowOff>
        </xdr:from>
        <xdr:to>
          <xdr:col>7</xdr:col>
          <xdr:colOff>594360</xdr:colOff>
          <xdr:row>5</xdr:row>
          <xdr:rowOff>30480</xdr:rowOff>
        </xdr:to>
        <xdr:sp macro="" textlink="">
          <xdr:nvSpPr>
            <xdr:cNvPr id="92161" name="CommandButton1" hidden="1">
              <a:extLst>
                <a:ext uri="{63B3BB69-23CF-44E3-9099-C40C66FF867C}">
                  <a14:compatExt spid="_x0000_s92161"/>
                </a:ext>
                <a:ext uri="{FF2B5EF4-FFF2-40B4-BE49-F238E27FC236}">
                  <a16:creationId xmlns:a16="http://schemas.microsoft.com/office/drawing/2014/main" id="{00000000-0008-0000-0700-0000016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0</xdr:row>
          <xdr:rowOff>45720</xdr:rowOff>
        </xdr:from>
        <xdr:to>
          <xdr:col>1</xdr:col>
          <xdr:colOff>175260</xdr:colOff>
          <xdr:row>2</xdr:row>
          <xdr:rowOff>76200</xdr:rowOff>
        </xdr:to>
        <xdr:sp macro="" textlink="">
          <xdr:nvSpPr>
            <xdr:cNvPr id="73729" name="CommandButton1" hidden="1">
              <a:extLst>
                <a:ext uri="{63B3BB69-23CF-44E3-9099-C40C66FF867C}">
                  <a14:compatExt spid="_x0000_s73729"/>
                </a:ext>
                <a:ext uri="{FF2B5EF4-FFF2-40B4-BE49-F238E27FC236}">
                  <a16:creationId xmlns:a16="http://schemas.microsoft.com/office/drawing/2014/main" id="{00000000-0008-0000-0800-000001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28</xdr:col>
      <xdr:colOff>428624</xdr:colOff>
      <xdr:row>0</xdr:row>
      <xdr:rowOff>161924</xdr:rowOff>
    </xdr:from>
    <xdr:to>
      <xdr:col>38</xdr:col>
      <xdr:colOff>123825</xdr:colOff>
      <xdr:row>12</xdr:row>
      <xdr:rowOff>142875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08" t="32292" r="4316" b="32291"/>
        <a:stretch/>
      </xdr:blipFill>
      <xdr:spPr>
        <a:xfrm>
          <a:off x="21450299" y="161924"/>
          <a:ext cx="5791201" cy="2266951"/>
        </a:xfrm>
        <a:prstGeom prst="rect">
          <a:avLst/>
        </a:prstGeom>
      </xdr:spPr>
    </xdr:pic>
    <xdr:clientData/>
  </xdr:twoCellAnchor>
  <xdr:twoCellAnchor editAs="oneCell">
    <xdr:from>
      <xdr:col>29</xdr:col>
      <xdr:colOff>47624</xdr:colOff>
      <xdr:row>20</xdr:row>
      <xdr:rowOff>28574</xdr:rowOff>
    </xdr:from>
    <xdr:to>
      <xdr:col>38</xdr:col>
      <xdr:colOff>400049</xdr:colOff>
      <xdr:row>32</xdr:row>
      <xdr:rowOff>85725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613" t="30804" r="4166" b="32589"/>
        <a:stretch/>
      </xdr:blipFill>
      <xdr:spPr>
        <a:xfrm>
          <a:off x="21678899" y="3457574"/>
          <a:ext cx="5838825" cy="23431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24</xdr:col>
      <xdr:colOff>171449</xdr:colOff>
      <xdr:row>0</xdr:row>
      <xdr:rowOff>0</xdr:rowOff>
    </xdr:from>
    <xdr:to>
      <xdr:col>33</xdr:col>
      <xdr:colOff>476250</xdr:colOff>
      <xdr:row>11</xdr:row>
      <xdr:rowOff>171451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08" t="32292" r="4316" b="32291"/>
        <a:stretch/>
      </xdr:blipFill>
      <xdr:spPr>
        <a:xfrm>
          <a:off x="20583524" y="228599"/>
          <a:ext cx="5791201" cy="2266951"/>
        </a:xfrm>
        <a:prstGeom prst="rect">
          <a:avLst/>
        </a:prstGeom>
      </xdr:spPr>
    </xdr:pic>
    <xdr:clientData/>
  </xdr:twoCellAnchor>
  <xdr:twoCellAnchor editAs="oneCell">
    <xdr:from>
      <xdr:col>24</xdr:col>
      <xdr:colOff>171449</xdr:colOff>
      <xdr:row>0</xdr:row>
      <xdr:rowOff>0</xdr:rowOff>
    </xdr:from>
    <xdr:to>
      <xdr:col>33</xdr:col>
      <xdr:colOff>523874</xdr:colOff>
      <xdr:row>12</xdr:row>
      <xdr:rowOff>57151</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613" t="30804" r="4166" b="32589"/>
        <a:stretch/>
      </xdr:blipFill>
      <xdr:spPr>
        <a:xfrm>
          <a:off x="20583524" y="2619374"/>
          <a:ext cx="5838825" cy="23431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ttjo\Desktop\schem_model_avg_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
      <sheetName val="TFCC@650"/>
      <sheetName val="TDSCL@650"/>
      <sheetName val="NH4NO3@650"/>
      <sheetName val="P@650"/>
      <sheetName val="TFCC@US"/>
      <sheetName val="CL@US"/>
      <sheetName val="TDS@US"/>
      <sheetName val="NH4@US"/>
      <sheetName val="NO3@US"/>
      <sheetName val="P@US"/>
      <sheetName val="P@KTR"/>
      <sheetName val="TFCC@KTR"/>
      <sheetName val="CL@KTR"/>
      <sheetName val="TDS@KTR"/>
      <sheetName val="NO3@KTR"/>
      <sheetName val="NH4@KTR"/>
      <sheetName val="WQdirectory"/>
      <sheetName val="Schematic2"/>
      <sheetName val="Variables"/>
      <sheetName val="initial_conditions"/>
      <sheetName val="Q Model"/>
      <sheetName val="WQ model"/>
      <sheetName val="stats"/>
      <sheetName val="JVshort"/>
      <sheetName val="AnnualQ"/>
      <sheetName val="Flows"/>
      <sheetName val="ACE-KTR"/>
      <sheetName val="ACE additional"/>
      <sheetName val="Evap"/>
      <sheetName val="HAgDem"/>
      <sheetName val="MIDemand"/>
      <sheetName val="HighGW"/>
      <sheetName val="ZarqaDem"/>
      <sheetName val="WWTP"/>
      <sheetName val="JVA"/>
      <sheetName val="BOD5AsSamra"/>
      <sheetName val="JVGW"/>
      <sheetName val="TFCCAsSamra"/>
      <sheetName val="TDS AsSamra"/>
      <sheetName val="ClAsSamra"/>
      <sheetName val="NO3-N AsSamra"/>
      <sheetName val="NH4-N AsSamra"/>
      <sheetName val="TP AsSamra"/>
      <sheetName val="TFCC 200"/>
      <sheetName val="NH4-N 200"/>
      <sheetName val="NO3-N 200"/>
      <sheetName val="TP 200"/>
      <sheetName val="TDS 200"/>
      <sheetName val="Cl 200"/>
      <sheetName val="KACTDS"/>
      <sheetName val="KACCl"/>
      <sheetName val="storage_plot"/>
      <sheetName val="flow_plot"/>
      <sheetName val="in_out_flow"/>
      <sheetName val="shortage"/>
      <sheetName val="AsSamwq_plot"/>
      <sheetName val="propwqin_plot"/>
      <sheetName val="propwqout_plot"/>
      <sheetName val="KTRwqin_plot"/>
      <sheetName val="KTRwqout_plot"/>
      <sheetName val="650wq_plot"/>
      <sheetName val="KACwq_plot"/>
      <sheetName val="SumW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6">
          <cell r="G36" t="str">
            <v>Monthly</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control" Target="../activeX/activeX6.xml"/><Relationship Id="rId18" Type="http://schemas.openxmlformats.org/officeDocument/2006/relationships/image" Target="../media/image8.emf"/><Relationship Id="rId3" Type="http://schemas.openxmlformats.org/officeDocument/2006/relationships/control" Target="../activeX/activeX1.xml"/><Relationship Id="rId21" Type="http://schemas.openxmlformats.org/officeDocument/2006/relationships/control" Target="../activeX/activeX10.xml"/><Relationship Id="rId7" Type="http://schemas.openxmlformats.org/officeDocument/2006/relationships/control" Target="../activeX/activeX3.xml"/><Relationship Id="rId12" Type="http://schemas.openxmlformats.org/officeDocument/2006/relationships/image" Target="../media/image5.emf"/><Relationship Id="rId17" Type="http://schemas.openxmlformats.org/officeDocument/2006/relationships/control" Target="../activeX/activeX8.xml"/><Relationship Id="rId2" Type="http://schemas.openxmlformats.org/officeDocument/2006/relationships/vmlDrawing" Target="../drawings/vmlDrawing1.vml"/><Relationship Id="rId16" Type="http://schemas.openxmlformats.org/officeDocument/2006/relationships/image" Target="../media/image7.emf"/><Relationship Id="rId20" Type="http://schemas.openxmlformats.org/officeDocument/2006/relationships/image" Target="../media/image9.emf"/><Relationship Id="rId1" Type="http://schemas.openxmlformats.org/officeDocument/2006/relationships/drawing" Target="../drawings/drawing1.xml"/><Relationship Id="rId6" Type="http://schemas.openxmlformats.org/officeDocument/2006/relationships/image" Target="../media/image2.emf"/><Relationship Id="rId11" Type="http://schemas.openxmlformats.org/officeDocument/2006/relationships/control" Target="../activeX/activeX5.xml"/><Relationship Id="rId24" Type="http://schemas.openxmlformats.org/officeDocument/2006/relationships/image" Target="../media/image11.emf"/><Relationship Id="rId5" Type="http://schemas.openxmlformats.org/officeDocument/2006/relationships/control" Target="../activeX/activeX2.xml"/><Relationship Id="rId15" Type="http://schemas.openxmlformats.org/officeDocument/2006/relationships/control" Target="../activeX/activeX7.xml"/><Relationship Id="rId23" Type="http://schemas.openxmlformats.org/officeDocument/2006/relationships/control" Target="../activeX/activeX11.xml"/><Relationship Id="rId10" Type="http://schemas.openxmlformats.org/officeDocument/2006/relationships/image" Target="../media/image4.emf"/><Relationship Id="rId19" Type="http://schemas.openxmlformats.org/officeDocument/2006/relationships/control" Target="../activeX/activeX9.xml"/><Relationship Id="rId4" Type="http://schemas.openxmlformats.org/officeDocument/2006/relationships/image" Target="../media/image1.emf"/><Relationship Id="rId9" Type="http://schemas.openxmlformats.org/officeDocument/2006/relationships/control" Target="../activeX/activeX4.xml"/><Relationship Id="rId14" Type="http://schemas.openxmlformats.org/officeDocument/2006/relationships/image" Target="../media/image6.emf"/><Relationship Id="rId22" Type="http://schemas.openxmlformats.org/officeDocument/2006/relationships/image" Target="../media/image10.emf"/></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11.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13" Type="http://schemas.openxmlformats.org/officeDocument/2006/relationships/image" Target="../media/image16.emf"/><Relationship Id="rId18" Type="http://schemas.openxmlformats.org/officeDocument/2006/relationships/control" Target="../activeX/activeX19.xml"/><Relationship Id="rId26" Type="http://schemas.openxmlformats.org/officeDocument/2006/relationships/control" Target="../activeX/activeX24.xml"/><Relationship Id="rId39" Type="http://schemas.openxmlformats.org/officeDocument/2006/relationships/image" Target="../media/image28.emf"/><Relationship Id="rId21" Type="http://schemas.openxmlformats.org/officeDocument/2006/relationships/image" Target="../media/image20.emf"/><Relationship Id="rId34" Type="http://schemas.openxmlformats.org/officeDocument/2006/relationships/control" Target="../activeX/activeX28.xml"/><Relationship Id="rId42" Type="http://schemas.openxmlformats.org/officeDocument/2006/relationships/control" Target="../activeX/activeX32.xml"/><Relationship Id="rId47" Type="http://schemas.openxmlformats.org/officeDocument/2006/relationships/image" Target="../media/image32.emf"/><Relationship Id="rId50" Type="http://schemas.openxmlformats.org/officeDocument/2006/relationships/control" Target="../activeX/activeX36.xml"/><Relationship Id="rId55" Type="http://schemas.openxmlformats.org/officeDocument/2006/relationships/image" Target="../media/image36.emf"/><Relationship Id="rId63" Type="http://schemas.openxmlformats.org/officeDocument/2006/relationships/image" Target="../media/image40.emf"/><Relationship Id="rId7" Type="http://schemas.openxmlformats.org/officeDocument/2006/relationships/image" Target="../media/image13.emf"/><Relationship Id="rId2" Type="http://schemas.openxmlformats.org/officeDocument/2006/relationships/drawing" Target="../drawings/drawing2.xml"/><Relationship Id="rId16" Type="http://schemas.openxmlformats.org/officeDocument/2006/relationships/control" Target="../activeX/activeX18.xml"/><Relationship Id="rId29" Type="http://schemas.openxmlformats.org/officeDocument/2006/relationships/image" Target="../media/image23.emf"/><Relationship Id="rId1" Type="http://schemas.openxmlformats.org/officeDocument/2006/relationships/printerSettings" Target="../printerSettings/printerSettings1.bin"/><Relationship Id="rId6" Type="http://schemas.openxmlformats.org/officeDocument/2006/relationships/control" Target="../activeX/activeX13.xml"/><Relationship Id="rId11" Type="http://schemas.openxmlformats.org/officeDocument/2006/relationships/image" Target="../media/image15.emf"/><Relationship Id="rId24" Type="http://schemas.openxmlformats.org/officeDocument/2006/relationships/control" Target="../activeX/activeX23.xml"/><Relationship Id="rId32" Type="http://schemas.openxmlformats.org/officeDocument/2006/relationships/control" Target="../activeX/activeX27.xml"/><Relationship Id="rId37" Type="http://schemas.openxmlformats.org/officeDocument/2006/relationships/image" Target="../media/image27.emf"/><Relationship Id="rId40" Type="http://schemas.openxmlformats.org/officeDocument/2006/relationships/control" Target="../activeX/activeX31.xml"/><Relationship Id="rId45" Type="http://schemas.openxmlformats.org/officeDocument/2006/relationships/image" Target="../media/image31.emf"/><Relationship Id="rId53" Type="http://schemas.openxmlformats.org/officeDocument/2006/relationships/image" Target="../media/image35.emf"/><Relationship Id="rId58" Type="http://schemas.openxmlformats.org/officeDocument/2006/relationships/control" Target="../activeX/activeX40.xml"/><Relationship Id="rId66" Type="http://schemas.openxmlformats.org/officeDocument/2006/relationships/control" Target="../activeX/activeX44.xml"/><Relationship Id="rId5" Type="http://schemas.openxmlformats.org/officeDocument/2006/relationships/image" Target="../media/image12.emf"/><Relationship Id="rId15" Type="http://schemas.openxmlformats.org/officeDocument/2006/relationships/image" Target="../media/image17.emf"/><Relationship Id="rId23" Type="http://schemas.openxmlformats.org/officeDocument/2006/relationships/control" Target="../activeX/activeX22.xml"/><Relationship Id="rId28" Type="http://schemas.openxmlformats.org/officeDocument/2006/relationships/control" Target="../activeX/activeX25.xml"/><Relationship Id="rId36" Type="http://schemas.openxmlformats.org/officeDocument/2006/relationships/control" Target="../activeX/activeX29.xml"/><Relationship Id="rId49" Type="http://schemas.openxmlformats.org/officeDocument/2006/relationships/image" Target="../media/image33.emf"/><Relationship Id="rId57" Type="http://schemas.openxmlformats.org/officeDocument/2006/relationships/image" Target="../media/image37.emf"/><Relationship Id="rId61" Type="http://schemas.openxmlformats.org/officeDocument/2006/relationships/image" Target="../media/image39.emf"/><Relationship Id="rId10" Type="http://schemas.openxmlformats.org/officeDocument/2006/relationships/control" Target="../activeX/activeX15.xml"/><Relationship Id="rId19" Type="http://schemas.openxmlformats.org/officeDocument/2006/relationships/image" Target="../media/image19.emf"/><Relationship Id="rId31" Type="http://schemas.openxmlformats.org/officeDocument/2006/relationships/image" Target="../media/image24.emf"/><Relationship Id="rId44" Type="http://schemas.openxmlformats.org/officeDocument/2006/relationships/control" Target="../activeX/activeX33.xml"/><Relationship Id="rId52" Type="http://schemas.openxmlformats.org/officeDocument/2006/relationships/control" Target="../activeX/activeX37.xml"/><Relationship Id="rId60" Type="http://schemas.openxmlformats.org/officeDocument/2006/relationships/control" Target="../activeX/activeX41.xml"/><Relationship Id="rId65" Type="http://schemas.openxmlformats.org/officeDocument/2006/relationships/image" Target="../media/image41.emf"/><Relationship Id="rId4" Type="http://schemas.openxmlformats.org/officeDocument/2006/relationships/control" Target="../activeX/activeX12.xml"/><Relationship Id="rId9" Type="http://schemas.openxmlformats.org/officeDocument/2006/relationships/image" Target="../media/image14.emf"/><Relationship Id="rId14" Type="http://schemas.openxmlformats.org/officeDocument/2006/relationships/control" Target="../activeX/activeX17.xml"/><Relationship Id="rId22" Type="http://schemas.openxmlformats.org/officeDocument/2006/relationships/control" Target="../activeX/activeX21.xml"/><Relationship Id="rId27" Type="http://schemas.openxmlformats.org/officeDocument/2006/relationships/image" Target="../media/image22.emf"/><Relationship Id="rId30" Type="http://schemas.openxmlformats.org/officeDocument/2006/relationships/control" Target="../activeX/activeX26.xml"/><Relationship Id="rId35" Type="http://schemas.openxmlformats.org/officeDocument/2006/relationships/image" Target="../media/image26.emf"/><Relationship Id="rId43" Type="http://schemas.openxmlformats.org/officeDocument/2006/relationships/image" Target="../media/image30.emf"/><Relationship Id="rId48" Type="http://schemas.openxmlformats.org/officeDocument/2006/relationships/control" Target="../activeX/activeX35.xml"/><Relationship Id="rId56" Type="http://schemas.openxmlformats.org/officeDocument/2006/relationships/control" Target="../activeX/activeX39.xml"/><Relationship Id="rId64" Type="http://schemas.openxmlformats.org/officeDocument/2006/relationships/control" Target="../activeX/activeX43.xml"/><Relationship Id="rId8" Type="http://schemas.openxmlformats.org/officeDocument/2006/relationships/control" Target="../activeX/activeX14.xml"/><Relationship Id="rId51" Type="http://schemas.openxmlformats.org/officeDocument/2006/relationships/image" Target="../media/image34.emf"/><Relationship Id="rId3" Type="http://schemas.openxmlformats.org/officeDocument/2006/relationships/vmlDrawing" Target="../drawings/vmlDrawing2.vml"/><Relationship Id="rId12" Type="http://schemas.openxmlformats.org/officeDocument/2006/relationships/control" Target="../activeX/activeX16.xml"/><Relationship Id="rId17" Type="http://schemas.openxmlformats.org/officeDocument/2006/relationships/image" Target="../media/image18.emf"/><Relationship Id="rId25" Type="http://schemas.openxmlformats.org/officeDocument/2006/relationships/image" Target="../media/image21.emf"/><Relationship Id="rId33" Type="http://schemas.openxmlformats.org/officeDocument/2006/relationships/image" Target="../media/image25.emf"/><Relationship Id="rId38" Type="http://schemas.openxmlformats.org/officeDocument/2006/relationships/control" Target="../activeX/activeX30.xml"/><Relationship Id="rId46" Type="http://schemas.openxmlformats.org/officeDocument/2006/relationships/control" Target="../activeX/activeX34.xml"/><Relationship Id="rId59" Type="http://schemas.openxmlformats.org/officeDocument/2006/relationships/image" Target="../media/image38.emf"/><Relationship Id="rId67" Type="http://schemas.openxmlformats.org/officeDocument/2006/relationships/image" Target="../media/image42.emf"/><Relationship Id="rId20" Type="http://schemas.openxmlformats.org/officeDocument/2006/relationships/control" Target="../activeX/activeX20.xml"/><Relationship Id="rId41" Type="http://schemas.openxmlformats.org/officeDocument/2006/relationships/image" Target="../media/image29.emf"/><Relationship Id="rId54" Type="http://schemas.openxmlformats.org/officeDocument/2006/relationships/control" Target="../activeX/activeX38.xml"/><Relationship Id="rId62" Type="http://schemas.openxmlformats.org/officeDocument/2006/relationships/control" Target="../activeX/activeX42.xml"/></Relationships>
</file>

<file path=xl/worksheets/_rels/sheet20.xml.rels><?xml version="1.0" encoding="UTF-8" standalone="yes"?>
<Relationships xmlns="http://schemas.openxmlformats.org/package/2006/relationships"><Relationship Id="rId3" Type="http://schemas.openxmlformats.org/officeDocument/2006/relationships/control" Target="../activeX/activeX88.xml"/><Relationship Id="rId2" Type="http://schemas.openxmlformats.org/officeDocument/2006/relationships/vmlDrawing" Target="../drawings/vmlDrawing13.vml"/><Relationship Id="rId1" Type="http://schemas.openxmlformats.org/officeDocument/2006/relationships/drawing" Target="../drawings/drawing10.xml"/><Relationship Id="rId4" Type="http://schemas.openxmlformats.org/officeDocument/2006/relationships/image" Target="../media/image83.emf"/></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0.bin"/><Relationship Id="rId5" Type="http://schemas.openxmlformats.org/officeDocument/2006/relationships/image" Target="../media/image84.emf"/><Relationship Id="rId4" Type="http://schemas.openxmlformats.org/officeDocument/2006/relationships/control" Target="../activeX/activeX89.xml"/></Relationships>
</file>

<file path=xl/worksheets/_rels/sheet3.xml.rels><?xml version="1.0" encoding="UTF-8" standalone="yes"?>
<Relationships xmlns="http://schemas.openxmlformats.org/package/2006/relationships"><Relationship Id="rId8" Type="http://schemas.openxmlformats.org/officeDocument/2006/relationships/image" Target="../media/image45.emf"/><Relationship Id="rId13" Type="http://schemas.openxmlformats.org/officeDocument/2006/relationships/control" Target="../activeX/activeX50.xml"/><Relationship Id="rId18" Type="http://schemas.openxmlformats.org/officeDocument/2006/relationships/image" Target="../media/image50.emf"/><Relationship Id="rId26" Type="http://schemas.openxmlformats.org/officeDocument/2006/relationships/image" Target="../media/image54.emf"/><Relationship Id="rId3" Type="http://schemas.openxmlformats.org/officeDocument/2006/relationships/control" Target="../activeX/activeX45.xml"/><Relationship Id="rId21" Type="http://schemas.openxmlformats.org/officeDocument/2006/relationships/control" Target="../activeX/activeX54.xml"/><Relationship Id="rId34" Type="http://schemas.openxmlformats.org/officeDocument/2006/relationships/image" Target="../media/image58.emf"/><Relationship Id="rId7" Type="http://schemas.openxmlformats.org/officeDocument/2006/relationships/control" Target="../activeX/activeX47.xml"/><Relationship Id="rId12" Type="http://schemas.openxmlformats.org/officeDocument/2006/relationships/image" Target="../media/image47.emf"/><Relationship Id="rId17" Type="http://schemas.openxmlformats.org/officeDocument/2006/relationships/control" Target="../activeX/activeX52.xml"/><Relationship Id="rId25" Type="http://schemas.openxmlformats.org/officeDocument/2006/relationships/control" Target="../activeX/activeX56.xml"/><Relationship Id="rId33" Type="http://schemas.openxmlformats.org/officeDocument/2006/relationships/control" Target="../activeX/activeX60.xml"/><Relationship Id="rId38" Type="http://schemas.openxmlformats.org/officeDocument/2006/relationships/image" Target="../media/image59.emf"/><Relationship Id="rId2" Type="http://schemas.openxmlformats.org/officeDocument/2006/relationships/vmlDrawing" Target="../drawings/vmlDrawing3.vml"/><Relationship Id="rId16" Type="http://schemas.openxmlformats.org/officeDocument/2006/relationships/image" Target="../media/image49.emf"/><Relationship Id="rId20" Type="http://schemas.openxmlformats.org/officeDocument/2006/relationships/image" Target="../media/image51.emf"/><Relationship Id="rId29" Type="http://schemas.openxmlformats.org/officeDocument/2006/relationships/control" Target="../activeX/activeX58.xml"/><Relationship Id="rId1" Type="http://schemas.openxmlformats.org/officeDocument/2006/relationships/drawing" Target="../drawings/drawing3.xml"/><Relationship Id="rId6" Type="http://schemas.openxmlformats.org/officeDocument/2006/relationships/image" Target="../media/image44.emf"/><Relationship Id="rId11" Type="http://schemas.openxmlformats.org/officeDocument/2006/relationships/control" Target="../activeX/activeX49.xml"/><Relationship Id="rId24" Type="http://schemas.openxmlformats.org/officeDocument/2006/relationships/image" Target="../media/image53.emf"/><Relationship Id="rId32" Type="http://schemas.openxmlformats.org/officeDocument/2006/relationships/image" Target="../media/image57.emf"/><Relationship Id="rId37" Type="http://schemas.openxmlformats.org/officeDocument/2006/relationships/control" Target="../activeX/activeX63.xml"/><Relationship Id="rId5" Type="http://schemas.openxmlformats.org/officeDocument/2006/relationships/control" Target="../activeX/activeX46.xml"/><Relationship Id="rId15" Type="http://schemas.openxmlformats.org/officeDocument/2006/relationships/control" Target="../activeX/activeX51.xml"/><Relationship Id="rId23" Type="http://schemas.openxmlformats.org/officeDocument/2006/relationships/control" Target="../activeX/activeX55.xml"/><Relationship Id="rId28" Type="http://schemas.openxmlformats.org/officeDocument/2006/relationships/image" Target="../media/image55.emf"/><Relationship Id="rId36" Type="http://schemas.openxmlformats.org/officeDocument/2006/relationships/control" Target="../activeX/activeX62.xml"/><Relationship Id="rId10" Type="http://schemas.openxmlformats.org/officeDocument/2006/relationships/image" Target="../media/image46.emf"/><Relationship Id="rId19" Type="http://schemas.openxmlformats.org/officeDocument/2006/relationships/control" Target="../activeX/activeX53.xml"/><Relationship Id="rId31" Type="http://schemas.openxmlformats.org/officeDocument/2006/relationships/control" Target="../activeX/activeX59.xml"/><Relationship Id="rId4" Type="http://schemas.openxmlformats.org/officeDocument/2006/relationships/image" Target="../media/image43.emf"/><Relationship Id="rId9" Type="http://schemas.openxmlformats.org/officeDocument/2006/relationships/control" Target="../activeX/activeX48.xml"/><Relationship Id="rId14" Type="http://schemas.openxmlformats.org/officeDocument/2006/relationships/image" Target="../media/image48.emf"/><Relationship Id="rId22" Type="http://schemas.openxmlformats.org/officeDocument/2006/relationships/image" Target="../media/image52.emf"/><Relationship Id="rId27" Type="http://schemas.openxmlformats.org/officeDocument/2006/relationships/control" Target="../activeX/activeX57.xml"/><Relationship Id="rId30" Type="http://schemas.openxmlformats.org/officeDocument/2006/relationships/image" Target="../media/image56.emf"/><Relationship Id="rId35" Type="http://schemas.openxmlformats.org/officeDocument/2006/relationships/control" Target="../activeX/activeX61.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66.xml"/><Relationship Id="rId13" Type="http://schemas.openxmlformats.org/officeDocument/2006/relationships/image" Target="../media/image64.emf"/><Relationship Id="rId18" Type="http://schemas.openxmlformats.org/officeDocument/2006/relationships/control" Target="../activeX/activeX71.xml"/><Relationship Id="rId26" Type="http://schemas.openxmlformats.org/officeDocument/2006/relationships/control" Target="../activeX/activeX75.xml"/><Relationship Id="rId39" Type="http://schemas.openxmlformats.org/officeDocument/2006/relationships/image" Target="../media/image74.emf"/><Relationship Id="rId3" Type="http://schemas.openxmlformats.org/officeDocument/2006/relationships/vmlDrawing" Target="../drawings/vmlDrawing4.vml"/><Relationship Id="rId21" Type="http://schemas.openxmlformats.org/officeDocument/2006/relationships/image" Target="../media/image68.emf"/><Relationship Id="rId34" Type="http://schemas.openxmlformats.org/officeDocument/2006/relationships/control" Target="../activeX/activeX79.xml"/><Relationship Id="rId42" Type="http://schemas.openxmlformats.org/officeDocument/2006/relationships/control" Target="../activeX/activeX83.xml"/><Relationship Id="rId7" Type="http://schemas.openxmlformats.org/officeDocument/2006/relationships/image" Target="../media/image61.emf"/><Relationship Id="rId12" Type="http://schemas.openxmlformats.org/officeDocument/2006/relationships/control" Target="../activeX/activeX68.xml"/><Relationship Id="rId17" Type="http://schemas.openxmlformats.org/officeDocument/2006/relationships/image" Target="../media/image66.emf"/><Relationship Id="rId25" Type="http://schemas.openxmlformats.org/officeDocument/2006/relationships/image" Target="../media/image70.emf"/><Relationship Id="rId33" Type="http://schemas.openxmlformats.org/officeDocument/2006/relationships/image" Target="../media/image71.emf"/><Relationship Id="rId38" Type="http://schemas.openxmlformats.org/officeDocument/2006/relationships/control" Target="../activeX/activeX81.xml"/><Relationship Id="rId2" Type="http://schemas.openxmlformats.org/officeDocument/2006/relationships/drawing" Target="../drawings/drawing4.xml"/><Relationship Id="rId16" Type="http://schemas.openxmlformats.org/officeDocument/2006/relationships/control" Target="../activeX/activeX70.xml"/><Relationship Id="rId20" Type="http://schemas.openxmlformats.org/officeDocument/2006/relationships/control" Target="../activeX/activeX72.xml"/><Relationship Id="rId29" Type="http://schemas.openxmlformats.org/officeDocument/2006/relationships/image" Target="../media/image38.emf"/><Relationship Id="rId41" Type="http://schemas.openxmlformats.org/officeDocument/2006/relationships/image" Target="../media/image75.emf"/><Relationship Id="rId1" Type="http://schemas.openxmlformats.org/officeDocument/2006/relationships/printerSettings" Target="../printerSettings/printerSettings2.bin"/><Relationship Id="rId6" Type="http://schemas.openxmlformats.org/officeDocument/2006/relationships/control" Target="../activeX/activeX65.xml"/><Relationship Id="rId11" Type="http://schemas.openxmlformats.org/officeDocument/2006/relationships/image" Target="../media/image63.emf"/><Relationship Id="rId24" Type="http://schemas.openxmlformats.org/officeDocument/2006/relationships/control" Target="../activeX/activeX74.xml"/><Relationship Id="rId32" Type="http://schemas.openxmlformats.org/officeDocument/2006/relationships/control" Target="../activeX/activeX78.xml"/><Relationship Id="rId37" Type="http://schemas.openxmlformats.org/officeDocument/2006/relationships/image" Target="../media/image73.emf"/><Relationship Id="rId40" Type="http://schemas.openxmlformats.org/officeDocument/2006/relationships/control" Target="../activeX/activeX82.xml"/><Relationship Id="rId5" Type="http://schemas.openxmlformats.org/officeDocument/2006/relationships/image" Target="../media/image60.emf"/><Relationship Id="rId15" Type="http://schemas.openxmlformats.org/officeDocument/2006/relationships/image" Target="../media/image65.emf"/><Relationship Id="rId23" Type="http://schemas.openxmlformats.org/officeDocument/2006/relationships/image" Target="../media/image69.emf"/><Relationship Id="rId28" Type="http://schemas.openxmlformats.org/officeDocument/2006/relationships/control" Target="../activeX/activeX76.xml"/><Relationship Id="rId36" Type="http://schemas.openxmlformats.org/officeDocument/2006/relationships/control" Target="../activeX/activeX80.xml"/><Relationship Id="rId10" Type="http://schemas.openxmlformats.org/officeDocument/2006/relationships/control" Target="../activeX/activeX67.xml"/><Relationship Id="rId19" Type="http://schemas.openxmlformats.org/officeDocument/2006/relationships/image" Target="../media/image67.emf"/><Relationship Id="rId31" Type="http://schemas.openxmlformats.org/officeDocument/2006/relationships/image" Target="../media/image58.emf"/><Relationship Id="rId4" Type="http://schemas.openxmlformats.org/officeDocument/2006/relationships/control" Target="../activeX/activeX64.xml"/><Relationship Id="rId9" Type="http://schemas.openxmlformats.org/officeDocument/2006/relationships/image" Target="../media/image62.emf"/><Relationship Id="rId14" Type="http://schemas.openxmlformats.org/officeDocument/2006/relationships/control" Target="../activeX/activeX69.xml"/><Relationship Id="rId22" Type="http://schemas.openxmlformats.org/officeDocument/2006/relationships/control" Target="../activeX/activeX73.xml"/><Relationship Id="rId27" Type="http://schemas.openxmlformats.org/officeDocument/2006/relationships/image" Target="../media/image39.emf"/><Relationship Id="rId30" Type="http://schemas.openxmlformats.org/officeDocument/2006/relationships/control" Target="../activeX/activeX77.xml"/><Relationship Id="rId35" Type="http://schemas.openxmlformats.org/officeDocument/2006/relationships/image" Target="../media/image72.emf"/><Relationship Id="rId43" Type="http://schemas.openxmlformats.org/officeDocument/2006/relationships/image" Target="../media/image76.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78.emf"/><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ntrol" Target="../activeX/activeX85.xml"/><Relationship Id="rId5" Type="http://schemas.openxmlformats.org/officeDocument/2006/relationships/image" Target="../media/image77.emf"/><Relationship Id="rId4" Type="http://schemas.openxmlformats.org/officeDocument/2006/relationships/control" Target="../activeX/activeX8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5" Type="http://schemas.openxmlformats.org/officeDocument/2006/relationships/image" Target="../media/image79.emf"/><Relationship Id="rId4" Type="http://schemas.openxmlformats.org/officeDocument/2006/relationships/control" Target="../activeX/activeX8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5.bin"/><Relationship Id="rId5" Type="http://schemas.openxmlformats.org/officeDocument/2006/relationships/image" Target="../media/image80.emf"/><Relationship Id="rId4" Type="http://schemas.openxmlformats.org/officeDocument/2006/relationships/control" Target="../activeX/activeX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
  <sheetViews>
    <sheetView showGridLines="0" topLeftCell="A4" workbookViewId="0">
      <selection activeCell="F24" sqref="F24"/>
    </sheetView>
  </sheetViews>
  <sheetFormatPr defaultRowHeight="14.4" x14ac:dyDescent="0.3"/>
  <sheetData/>
  <pageMargins left="0.7" right="0.7" top="0.75" bottom="0.75" header="0.3" footer="0.3"/>
  <drawing r:id="rId1"/>
  <legacyDrawing r:id="rId2"/>
  <controls>
    <mc:AlternateContent xmlns:mc="http://schemas.openxmlformats.org/markup-compatibility/2006">
      <mc:Choice Requires="x14">
        <control shapeId="33806" r:id="rId3" name="CommandButton8">
          <controlPr defaultSize="0" autoLine="0" r:id="rId4">
            <anchor moveWithCells="1">
              <from>
                <xdr:col>3</xdr:col>
                <xdr:colOff>419100</xdr:colOff>
                <xdr:row>19</xdr:row>
                <xdr:rowOff>152400</xdr:rowOff>
              </from>
              <to>
                <xdr:col>7</xdr:col>
                <xdr:colOff>502920</xdr:colOff>
                <xdr:row>23</xdr:row>
                <xdr:rowOff>152400</xdr:rowOff>
              </to>
            </anchor>
          </controlPr>
        </control>
      </mc:Choice>
      <mc:Fallback>
        <control shapeId="33806" r:id="rId3" name="CommandButton8"/>
      </mc:Fallback>
    </mc:AlternateContent>
    <mc:AlternateContent xmlns:mc="http://schemas.openxmlformats.org/markup-compatibility/2006">
      <mc:Choice Requires="x14">
        <control shapeId="33803" r:id="rId5" name="CommandButton6">
          <controlPr defaultSize="0" autoLine="0" r:id="rId6">
            <anchor moveWithCells="1">
              <from>
                <xdr:col>3</xdr:col>
                <xdr:colOff>342900</xdr:colOff>
                <xdr:row>34</xdr:row>
                <xdr:rowOff>144780</xdr:rowOff>
              </from>
              <to>
                <xdr:col>8</xdr:col>
                <xdr:colOff>175260</xdr:colOff>
                <xdr:row>37</xdr:row>
                <xdr:rowOff>137160</xdr:rowOff>
              </to>
            </anchor>
          </controlPr>
        </control>
      </mc:Choice>
      <mc:Fallback>
        <control shapeId="33803" r:id="rId5" name="CommandButton6"/>
      </mc:Fallback>
    </mc:AlternateContent>
    <mc:AlternateContent xmlns:mc="http://schemas.openxmlformats.org/markup-compatibility/2006">
      <mc:Choice Requires="x14">
        <control shapeId="33802" r:id="rId7" name="Helpbuttonmain">
          <controlPr defaultSize="0" autoLine="0" r:id="rId8">
            <anchor moveWithCells="1">
              <from>
                <xdr:col>9</xdr:col>
                <xdr:colOff>83820</xdr:colOff>
                <xdr:row>3</xdr:row>
                <xdr:rowOff>30480</xdr:rowOff>
              </from>
              <to>
                <xdr:col>10</xdr:col>
                <xdr:colOff>419100</xdr:colOff>
                <xdr:row>5</xdr:row>
                <xdr:rowOff>99060</xdr:rowOff>
              </to>
            </anchor>
          </controlPr>
        </control>
      </mc:Choice>
      <mc:Fallback>
        <control shapeId="33802" r:id="rId7" name="Helpbuttonmain"/>
      </mc:Fallback>
    </mc:AlternateContent>
    <mc:AlternateContent xmlns:mc="http://schemas.openxmlformats.org/markup-compatibility/2006">
      <mc:Choice Requires="x14">
        <control shapeId="33801" r:id="rId9" name="Label1">
          <controlPr defaultSize="0" autoLine="0" r:id="rId10">
            <anchor moveWithCells="1">
              <from>
                <xdr:col>0</xdr:col>
                <xdr:colOff>0</xdr:colOff>
                <xdr:row>0</xdr:row>
                <xdr:rowOff>0</xdr:rowOff>
              </from>
              <to>
                <xdr:col>12</xdr:col>
                <xdr:colOff>144780</xdr:colOff>
                <xdr:row>2</xdr:row>
                <xdr:rowOff>0</xdr:rowOff>
              </to>
            </anchor>
          </controlPr>
        </control>
      </mc:Choice>
      <mc:Fallback>
        <control shapeId="33801" r:id="rId9" name="Label1"/>
      </mc:Fallback>
    </mc:AlternateContent>
    <mc:AlternateContent xmlns:mc="http://schemas.openxmlformats.org/markup-compatibility/2006">
      <mc:Choice Requires="x14">
        <control shapeId="33793" r:id="rId11" name="ClearDataButton">
          <controlPr defaultSize="0" autoLine="0" r:id="rId12">
            <anchor moveWithCells="1">
              <from>
                <xdr:col>4</xdr:col>
                <xdr:colOff>266700</xdr:colOff>
                <xdr:row>3</xdr:row>
                <xdr:rowOff>83820</xdr:rowOff>
              </from>
              <to>
                <xdr:col>7</xdr:col>
                <xdr:colOff>106680</xdr:colOff>
                <xdr:row>6</xdr:row>
                <xdr:rowOff>76200</xdr:rowOff>
              </to>
            </anchor>
          </controlPr>
        </control>
      </mc:Choice>
      <mc:Fallback>
        <control shapeId="33793" r:id="rId11" name="ClearDataButton"/>
      </mc:Fallback>
    </mc:AlternateContent>
    <mc:AlternateContent xmlns:mc="http://schemas.openxmlformats.org/markup-compatibility/2006">
      <mc:Choice Requires="x14">
        <control shapeId="33795" r:id="rId13" name="CommandButton1">
          <controlPr defaultSize="0" autoLine="0" r:id="rId14">
            <anchor moveWithCells="1">
              <from>
                <xdr:col>1</xdr:col>
                <xdr:colOff>38100</xdr:colOff>
                <xdr:row>9</xdr:row>
                <xdr:rowOff>7620</xdr:rowOff>
              </from>
              <to>
                <xdr:col>5</xdr:col>
                <xdr:colOff>121920</xdr:colOff>
                <xdr:row>13</xdr:row>
                <xdr:rowOff>7620</xdr:rowOff>
              </to>
            </anchor>
          </controlPr>
        </control>
      </mc:Choice>
      <mc:Fallback>
        <control shapeId="33795" r:id="rId13" name="CommandButton1"/>
      </mc:Fallback>
    </mc:AlternateContent>
    <mc:AlternateContent xmlns:mc="http://schemas.openxmlformats.org/markup-compatibility/2006">
      <mc:Choice Requires="x14">
        <control shapeId="33797" r:id="rId15" name="CommandButton2">
          <controlPr defaultSize="0" autoLine="0" r:id="rId16">
            <anchor moveWithCells="1">
              <from>
                <xdr:col>6</xdr:col>
                <xdr:colOff>68580</xdr:colOff>
                <xdr:row>8</xdr:row>
                <xdr:rowOff>182880</xdr:rowOff>
              </from>
              <to>
                <xdr:col>9</xdr:col>
                <xdr:colOff>518160</xdr:colOff>
                <xdr:row>12</xdr:row>
                <xdr:rowOff>106680</xdr:rowOff>
              </to>
            </anchor>
          </controlPr>
        </control>
      </mc:Choice>
      <mc:Fallback>
        <control shapeId="33797" r:id="rId15" name="CommandButton2"/>
      </mc:Fallback>
    </mc:AlternateContent>
    <mc:AlternateContent xmlns:mc="http://schemas.openxmlformats.org/markup-compatibility/2006">
      <mc:Choice Requires="x14">
        <control shapeId="33798" r:id="rId17" name="CommandButton3">
          <controlPr defaultSize="0" autoLine="0" r:id="rId18">
            <anchor moveWithCells="1">
              <from>
                <xdr:col>3</xdr:col>
                <xdr:colOff>381000</xdr:colOff>
                <xdr:row>14</xdr:row>
                <xdr:rowOff>106680</xdr:rowOff>
              </from>
              <to>
                <xdr:col>7</xdr:col>
                <xdr:colOff>464820</xdr:colOff>
                <xdr:row>18</xdr:row>
                <xdr:rowOff>106680</xdr:rowOff>
              </to>
            </anchor>
          </controlPr>
        </control>
      </mc:Choice>
      <mc:Fallback>
        <control shapeId="33798" r:id="rId17" name="CommandButton3"/>
      </mc:Fallback>
    </mc:AlternateContent>
    <mc:AlternateContent xmlns:mc="http://schemas.openxmlformats.org/markup-compatibility/2006">
      <mc:Choice Requires="x14">
        <control shapeId="33799" r:id="rId19" name="CommandButton4">
          <controlPr defaultSize="0" autoLine="0" r:id="rId20">
            <anchor moveWithCells="1">
              <from>
                <xdr:col>1</xdr:col>
                <xdr:colOff>297180</xdr:colOff>
                <xdr:row>24</xdr:row>
                <xdr:rowOff>175260</xdr:rowOff>
              </from>
              <to>
                <xdr:col>4</xdr:col>
                <xdr:colOff>137160</xdr:colOff>
                <xdr:row>27</xdr:row>
                <xdr:rowOff>160020</xdr:rowOff>
              </to>
            </anchor>
          </controlPr>
        </control>
      </mc:Choice>
      <mc:Fallback>
        <control shapeId="33799" r:id="rId19" name="CommandButton4"/>
      </mc:Fallback>
    </mc:AlternateContent>
    <mc:AlternateContent xmlns:mc="http://schemas.openxmlformats.org/markup-compatibility/2006">
      <mc:Choice Requires="x14">
        <control shapeId="33800" r:id="rId21" name="CommandButton5">
          <controlPr defaultSize="0" autoLine="0" r:id="rId22">
            <anchor moveWithCells="1">
              <from>
                <xdr:col>7</xdr:col>
                <xdr:colOff>0</xdr:colOff>
                <xdr:row>25</xdr:row>
                <xdr:rowOff>7620</xdr:rowOff>
              </from>
              <to>
                <xdr:col>9</xdr:col>
                <xdr:colOff>289560</xdr:colOff>
                <xdr:row>27</xdr:row>
                <xdr:rowOff>137160</xdr:rowOff>
              </to>
            </anchor>
          </controlPr>
        </control>
      </mc:Choice>
      <mc:Fallback>
        <control shapeId="33800" r:id="rId21" name="CommandButton5"/>
      </mc:Fallback>
    </mc:AlternateContent>
    <mc:AlternateContent xmlns:mc="http://schemas.openxmlformats.org/markup-compatibility/2006">
      <mc:Choice Requires="x14">
        <control shapeId="33804" r:id="rId23" name="CommandButton7">
          <controlPr defaultSize="0" autoLine="0" r:id="rId24">
            <anchor moveWithCells="1">
              <from>
                <xdr:col>4</xdr:col>
                <xdr:colOff>297180</xdr:colOff>
                <xdr:row>30</xdr:row>
                <xdr:rowOff>7620</xdr:rowOff>
              </from>
              <to>
                <xdr:col>6</xdr:col>
                <xdr:colOff>388620</xdr:colOff>
                <xdr:row>33</xdr:row>
                <xdr:rowOff>121920</xdr:rowOff>
              </to>
            </anchor>
          </controlPr>
        </control>
      </mc:Choice>
      <mc:Fallback>
        <control shapeId="33804" r:id="rId23" name="CommandButton7"/>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L33"/>
  <sheetViews>
    <sheetView workbookViewId="0">
      <selection activeCell="C5" sqref="C5"/>
    </sheetView>
  </sheetViews>
  <sheetFormatPr defaultRowHeight="14.4" x14ac:dyDescent="0.3"/>
  <cols>
    <col min="1" max="1" width="9.6640625" bestFit="1" customWidth="1"/>
    <col min="2" max="2" width="13.6640625" customWidth="1"/>
    <col min="3" max="3" width="21" customWidth="1"/>
    <col min="4" max="4" width="18.6640625" customWidth="1"/>
    <col min="5" max="5" width="11.44140625" customWidth="1"/>
    <col min="9" max="9" width="24.33203125" customWidth="1"/>
    <col min="10" max="10" width="20.33203125" customWidth="1"/>
    <col min="11" max="11" width="19.88671875" customWidth="1"/>
  </cols>
  <sheetData>
    <row r="1" spans="1:12" x14ac:dyDescent="0.3">
      <c r="A1" s="6">
        <v>40909</v>
      </c>
      <c r="B1" s="2" t="s">
        <v>402</v>
      </c>
    </row>
    <row r="3" spans="1:12" x14ac:dyDescent="0.3">
      <c r="C3" t="s">
        <v>401</v>
      </c>
    </row>
    <row r="4" spans="1:12" x14ac:dyDescent="0.3">
      <c r="B4" t="s">
        <v>9</v>
      </c>
      <c r="C4" t="s">
        <v>351</v>
      </c>
    </row>
    <row r="5" spans="1:12" x14ac:dyDescent="0.3">
      <c r="B5" t="s">
        <v>819</v>
      </c>
      <c r="C5" t="s">
        <v>1221</v>
      </c>
      <c r="D5" t="b">
        <v>1</v>
      </c>
    </row>
    <row r="6" spans="1:12" x14ac:dyDescent="0.3">
      <c r="B6" t="s">
        <v>701</v>
      </c>
      <c r="C6" t="s">
        <v>700</v>
      </c>
    </row>
    <row r="8" spans="1:12" x14ac:dyDescent="0.3">
      <c r="B8" s="2" t="s">
        <v>404</v>
      </c>
      <c r="H8" s="2" t="s">
        <v>822</v>
      </c>
    </row>
    <row r="9" spans="1:12" x14ac:dyDescent="0.3">
      <c r="C9" t="s">
        <v>702</v>
      </c>
      <c r="D9" t="s">
        <v>749</v>
      </c>
      <c r="E9" t="s">
        <v>703</v>
      </c>
      <c r="I9" t="s">
        <v>816</v>
      </c>
      <c r="J9" t="s">
        <v>817</v>
      </c>
      <c r="K9" t="s">
        <v>818</v>
      </c>
    </row>
    <row r="10" spans="1:12" x14ac:dyDescent="0.3">
      <c r="B10" t="s">
        <v>12</v>
      </c>
      <c r="C10" t="s">
        <v>405</v>
      </c>
      <c r="D10" t="s">
        <v>1157</v>
      </c>
      <c r="E10" t="s">
        <v>1157</v>
      </c>
      <c r="H10" t="s">
        <v>12</v>
      </c>
      <c r="I10" t="s">
        <v>798</v>
      </c>
      <c r="J10" t="s">
        <v>787</v>
      </c>
      <c r="K10" t="s">
        <v>802</v>
      </c>
    </row>
    <row r="11" spans="1:12" x14ac:dyDescent="0.3">
      <c r="B11" t="s">
        <v>704</v>
      </c>
      <c r="C11" s="6">
        <v>41000</v>
      </c>
      <c r="D11" s="6"/>
      <c r="E11" s="6"/>
      <c r="H11" t="s">
        <v>815</v>
      </c>
      <c r="I11" s="10"/>
      <c r="J11" s="10"/>
      <c r="K11" s="10"/>
      <c r="L11" s="10" t="str">
        <f>IF(simplemethod,WatSize,SUM(VALUE(watarea1),VALUE(watarea2),VALUE(watarea3)))</f>
        <v>25</v>
      </c>
    </row>
    <row r="12" spans="1:12" x14ac:dyDescent="0.3">
      <c r="B12" t="s">
        <v>745</v>
      </c>
      <c r="C12" s="4">
        <f>+Plant1-$A$1</f>
        <v>91</v>
      </c>
      <c r="D12" s="4">
        <f>+Plant2-$A$1</f>
        <v>-40909</v>
      </c>
      <c r="E12" s="4">
        <f>+Plant3-$A$1</f>
        <v>-40909</v>
      </c>
      <c r="H12" t="s">
        <v>417</v>
      </c>
      <c r="I12" s="10" t="str">
        <f>VLOOKUP(WatSoil,'input.form.data'!$I$2:$J$358,2)</f>
        <v xml:space="preserve">D </v>
      </c>
      <c r="J12" s="10" t="str">
        <f>VLOOKUP(WatSoil,'input.form.data'!$I$2:$J$358,2)</f>
        <v xml:space="preserve">D </v>
      </c>
      <c r="K12" s="10" t="str">
        <f>VLOOKUP(WatSoil,'input.form.data'!$I$2:$J$358,2)</f>
        <v xml:space="preserve">D </v>
      </c>
    </row>
    <row r="13" spans="1:12" x14ac:dyDescent="0.3">
      <c r="B13" t="s">
        <v>750</v>
      </c>
      <c r="C13">
        <f>VLOOKUP(Crop1,kcs!$B$2:$G$19,2,FALSE)</f>
        <v>20</v>
      </c>
      <c r="D13" t="e">
        <f>VLOOKUP(Crop2,kcs!$B$2:$G$19,2,FALSE)</f>
        <v>#N/A</v>
      </c>
      <c r="E13" t="e">
        <f>VLOOKUP(Crop3,kcs!$B$2:$F$15,2,FALSE)</f>
        <v>#N/A</v>
      </c>
      <c r="G13" t="s">
        <v>64</v>
      </c>
      <c r="H13" t="s">
        <v>820</v>
      </c>
      <c r="I13" s="4">
        <f>INDEX('input.form.data'!$N$1:$R$24,MATCH(cover1,'input.form.data'!$N$1:$N$24,0),MATCH(hydsg1,'input.form.data'!$N$1:$R1,1))</f>
        <v>89</v>
      </c>
      <c r="J13" s="4">
        <f>INDEX('input.form.data'!$N$1:$R$24,MATCH(cover2,'input.form.data'!$N$1:$N$24,0),MATCH(hydsg2,'input.form.data'!$N$1:$R1,1))</f>
        <v>80</v>
      </c>
      <c r="K13" s="4">
        <f>INDEX('input.form.data'!$N$1:$R$24,MATCH(cover3,'input.form.data'!$N$1:$N$24,0),MATCH(hydsg3,'input.form.data'!$N$1:$R1,1))</f>
        <v>90</v>
      </c>
      <c r="L13" s="8">
        <f>+I13*watarea1/wattotarea+J13*watarea2/wattotarea+K13*watarea3/wattotarea</f>
        <v>0</v>
      </c>
    </row>
    <row r="14" spans="1:12" x14ac:dyDescent="0.3">
      <c r="B14" t="s">
        <v>746</v>
      </c>
      <c r="C14">
        <f>VLOOKUP(Crop1,kcs!$B$2:$G$19,3,FALSE)</f>
        <v>35</v>
      </c>
      <c r="D14" t="e">
        <f>VLOOKUP(Crop2,kcs!$B$2:$G$19,3,FALSE)</f>
        <v>#N/A</v>
      </c>
      <c r="E14" t="e">
        <f>VLOOKUP(Crop3,kcs!$B$2:$F$15,3,FALSE)</f>
        <v>#N/A</v>
      </c>
    </row>
    <row r="15" spans="1:12" x14ac:dyDescent="0.3">
      <c r="B15" t="s">
        <v>747</v>
      </c>
      <c r="C15">
        <f>VLOOKUP(Crop1,kcs!$B$2:$G$19,4,FALSE)</f>
        <v>40</v>
      </c>
      <c r="D15" t="e">
        <f>VLOOKUP(Crop2,kcs!$B$2:$G$19,4,FALSE)</f>
        <v>#N/A</v>
      </c>
      <c r="E15" t="e">
        <f>VLOOKUP(Crop3,kcs!$B$2:$F$15,4,FALSE)</f>
        <v>#N/A</v>
      </c>
      <c r="H15" t="s">
        <v>884</v>
      </c>
      <c r="I15" s="5" t="e">
        <f>1000/wtgdcn-10</f>
        <v>#DIV/0!</v>
      </c>
    </row>
    <row r="16" spans="1:12" x14ac:dyDescent="0.3">
      <c r="B16" t="s">
        <v>748</v>
      </c>
      <c r="C16">
        <f>VLOOKUP(Crop1,kcs!$B$2:$G$19,5,FALSE)</f>
        <v>30</v>
      </c>
      <c r="D16" t="e">
        <f>VLOOKUP(Crop2,kcs!$B$2:$G$19,5,FALSE)</f>
        <v>#N/A</v>
      </c>
      <c r="E16" t="e">
        <f>VLOOKUP(Crop3,kcs!$B$2:$F$15,5,FALSE)</f>
        <v>#N/A</v>
      </c>
      <c r="H16" t="s">
        <v>890</v>
      </c>
      <c r="I16" s="5" t="e">
        <f>0.2*S</f>
        <v>#DIV/0!</v>
      </c>
    </row>
    <row r="17" spans="2:8" x14ac:dyDescent="0.3">
      <c r="B17" t="s">
        <v>936</v>
      </c>
      <c r="C17">
        <f>VLOOKUP(Crop1,kcs!$B$2:$G$19,6,FALSE)</f>
        <v>125</v>
      </c>
      <c r="D17" t="e">
        <f>VLOOKUP(Crop2,kcs!$B$2:$G$19,6,FALSE)</f>
        <v>#N/A</v>
      </c>
      <c r="E17" t="e">
        <f>VLOOKUP(Crop3,kcs!$B$2:$G$15,6,FALSE)</f>
        <v>#N/A</v>
      </c>
      <c r="H17" t="s">
        <v>894</v>
      </c>
    </row>
    <row r="18" spans="2:8" x14ac:dyDescent="0.3">
      <c r="B18" t="s">
        <v>705</v>
      </c>
      <c r="C18" s="7" t="s">
        <v>1222</v>
      </c>
      <c r="D18" s="7"/>
      <c r="E18" s="7"/>
      <c r="F18">
        <f>IF(DoubleCrop1=TRUE,SUM(VALUE(Acres1),VALUE(Acres3)),SUM(VALUE(Acres1),VALUE(Acres2),VALUE(Acres3)))</f>
        <v>100</v>
      </c>
      <c r="H18" t="s">
        <v>64</v>
      </c>
    </row>
    <row r="19" spans="2:8" x14ac:dyDescent="0.3">
      <c r="B19" t="s">
        <v>991</v>
      </c>
      <c r="C19" t="b">
        <v>0</v>
      </c>
      <c r="D19" t="b">
        <v>0</v>
      </c>
      <c r="H19" t="s">
        <v>64</v>
      </c>
    </row>
    <row r="20" spans="2:8" x14ac:dyDescent="0.3">
      <c r="H20" t="s">
        <v>64</v>
      </c>
    </row>
    <row r="21" spans="2:8" x14ac:dyDescent="0.3">
      <c r="B21" s="2" t="s">
        <v>821</v>
      </c>
      <c r="H21" t="s">
        <v>64</v>
      </c>
    </row>
    <row r="22" spans="2:8" x14ac:dyDescent="0.3">
      <c r="F22" s="4" t="s">
        <v>64</v>
      </c>
      <c r="H22" t="s">
        <v>64</v>
      </c>
    </row>
    <row r="23" spans="2:8" x14ac:dyDescent="0.3">
      <c r="B23" t="s">
        <v>779</v>
      </c>
      <c r="C23" t="s">
        <v>776</v>
      </c>
      <c r="D23" t="s">
        <v>778</v>
      </c>
      <c r="E23" t="s">
        <v>775</v>
      </c>
      <c r="H23" t="s">
        <v>64</v>
      </c>
    </row>
    <row r="24" spans="2:8" x14ac:dyDescent="0.3">
      <c r="B24" t="s">
        <v>780</v>
      </c>
      <c r="C24" s="7" t="s">
        <v>1158</v>
      </c>
      <c r="D24" s="7" t="s">
        <v>1161</v>
      </c>
      <c r="E24" s="7" t="s">
        <v>1153</v>
      </c>
    </row>
    <row r="26" spans="2:8" x14ac:dyDescent="0.3">
      <c r="C26">
        <v>1</v>
      </c>
      <c r="D26">
        <v>2</v>
      </c>
      <c r="E26">
        <v>3</v>
      </c>
    </row>
    <row r="30" spans="2:8" x14ac:dyDescent="0.3">
      <c r="B30" t="s">
        <v>931</v>
      </c>
    </row>
    <row r="32" spans="2:8" x14ac:dyDescent="0.3">
      <c r="B32" t="s">
        <v>12</v>
      </c>
      <c r="C32" t="s">
        <v>1157</v>
      </c>
      <c r="D32" t="s">
        <v>1157</v>
      </c>
      <c r="E32" t="s">
        <v>1157</v>
      </c>
      <c r="F32" t="s">
        <v>1157</v>
      </c>
    </row>
    <row r="33" spans="2:7" x14ac:dyDescent="0.3">
      <c r="B33" t="s">
        <v>932</v>
      </c>
      <c r="C33" s="91"/>
      <c r="D33" s="91"/>
      <c r="E33" s="91"/>
      <c r="F33" s="91"/>
      <c r="G33" s="4">
        <f>SUM(VALUE(Livestock1),VALUE(Livestock2),VALUE(Livestock3),VALUE(Livestock4))</f>
        <v>0</v>
      </c>
    </row>
  </sheetData>
  <pageMargins left="0.7" right="0.7" top="0.75" bottom="0.75" header="0.3" footer="0.3"/>
  <pageSetup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pageSetUpPr fitToPage="1"/>
  </sheetPr>
  <dimension ref="A1:AM101"/>
  <sheetViews>
    <sheetView topLeftCell="A73" workbookViewId="0">
      <selection activeCell="C90" sqref="C90"/>
    </sheetView>
  </sheetViews>
  <sheetFormatPr defaultRowHeight="14.4" x14ac:dyDescent="0.3"/>
  <cols>
    <col min="3" max="4" width="29.88671875" customWidth="1"/>
    <col min="8" max="8" width="17.109375" customWidth="1"/>
    <col min="24" max="24" width="19" customWidth="1"/>
    <col min="28" max="28" width="16.88671875" style="5" customWidth="1"/>
  </cols>
  <sheetData>
    <row r="1" spans="1:28" x14ac:dyDescent="0.3">
      <c r="B1" t="s">
        <v>0</v>
      </c>
      <c r="C1" t="s">
        <v>1</v>
      </c>
      <c r="D1" t="s">
        <v>9</v>
      </c>
      <c r="E1" t="s">
        <v>2</v>
      </c>
      <c r="F1" t="s">
        <v>3</v>
      </c>
      <c r="G1" t="s">
        <v>4</v>
      </c>
      <c r="H1" t="s">
        <v>5</v>
      </c>
      <c r="I1">
        <v>1</v>
      </c>
      <c r="J1">
        <v>2</v>
      </c>
      <c r="K1">
        <v>3</v>
      </c>
      <c r="L1">
        <v>4</v>
      </c>
      <c r="M1">
        <v>5</v>
      </c>
      <c r="N1">
        <v>6</v>
      </c>
      <c r="O1">
        <v>7</v>
      </c>
      <c r="P1">
        <v>8</v>
      </c>
      <c r="Q1">
        <v>9</v>
      </c>
      <c r="R1">
        <v>10</v>
      </c>
      <c r="S1">
        <v>11</v>
      </c>
      <c r="T1">
        <v>12</v>
      </c>
      <c r="U1" t="s">
        <v>6</v>
      </c>
      <c r="V1" t="s">
        <v>7</v>
      </c>
      <c r="W1" t="s">
        <v>8</v>
      </c>
      <c r="X1" t="s">
        <v>9</v>
      </c>
      <c r="Y1" t="s">
        <v>10</v>
      </c>
      <c r="Z1" t="s">
        <v>11</v>
      </c>
      <c r="AA1" t="s">
        <v>12</v>
      </c>
      <c r="AB1" s="5" t="s">
        <v>895</v>
      </c>
    </row>
    <row r="2" spans="1:28" x14ac:dyDescent="0.3">
      <c r="A2">
        <v>142</v>
      </c>
      <c r="B2">
        <v>93783</v>
      </c>
      <c r="C2" t="s">
        <v>54</v>
      </c>
      <c r="D2" t="s">
        <v>314</v>
      </c>
      <c r="E2">
        <v>36.046669999999999</v>
      </c>
      <c r="F2">
        <v>-79.476939999999999</v>
      </c>
      <c r="G2">
        <v>188.1</v>
      </c>
      <c r="H2" t="s">
        <v>14</v>
      </c>
      <c r="I2">
        <v>350</v>
      </c>
      <c r="J2">
        <v>329</v>
      </c>
      <c r="K2">
        <v>426</v>
      </c>
      <c r="L2">
        <v>353</v>
      </c>
      <c r="M2">
        <v>352</v>
      </c>
      <c r="N2">
        <v>422</v>
      </c>
      <c r="O2">
        <v>463</v>
      </c>
      <c r="P2">
        <v>420</v>
      </c>
      <c r="Q2">
        <v>385</v>
      </c>
      <c r="R2">
        <v>356</v>
      </c>
      <c r="S2">
        <v>331</v>
      </c>
      <c r="T2">
        <v>323</v>
      </c>
      <c r="U2" t="s">
        <v>19</v>
      </c>
      <c r="V2" t="s">
        <v>19</v>
      </c>
      <c r="W2" t="s">
        <v>19</v>
      </c>
      <c r="X2" t="s">
        <v>55</v>
      </c>
      <c r="Y2" t="s">
        <v>19</v>
      </c>
      <c r="Z2" t="s">
        <v>19</v>
      </c>
      <c r="AA2" t="s">
        <v>19</v>
      </c>
      <c r="AB2" s="5">
        <f t="shared" ref="AB2:AB36" si="0">INDEX(latlongrunoff,MATCH(pptstalong,longrunoff,1),MATCH(pptstalat,latrunoff,1))</f>
        <v>3</v>
      </c>
    </row>
    <row r="3" spans="1:28" x14ac:dyDescent="0.3">
      <c r="A3">
        <v>184</v>
      </c>
      <c r="B3">
        <v>318519</v>
      </c>
      <c r="C3" t="s">
        <v>257</v>
      </c>
      <c r="D3" t="s">
        <v>373</v>
      </c>
      <c r="E3">
        <v>35.922499999999999</v>
      </c>
      <c r="F3">
        <v>-81.171599999999998</v>
      </c>
      <c r="G3">
        <v>402.3</v>
      </c>
      <c r="H3" t="s">
        <v>14</v>
      </c>
      <c r="I3">
        <v>466</v>
      </c>
      <c r="J3">
        <v>427</v>
      </c>
      <c r="K3">
        <v>438</v>
      </c>
      <c r="L3">
        <v>424</v>
      </c>
      <c r="M3">
        <v>408</v>
      </c>
      <c r="N3">
        <v>465</v>
      </c>
      <c r="O3">
        <v>451</v>
      </c>
      <c r="P3">
        <v>428</v>
      </c>
      <c r="Q3">
        <v>388</v>
      </c>
      <c r="R3">
        <v>347</v>
      </c>
      <c r="S3">
        <v>335</v>
      </c>
      <c r="T3">
        <v>401</v>
      </c>
      <c r="U3" t="s">
        <v>19</v>
      </c>
      <c r="V3" t="s">
        <v>19</v>
      </c>
      <c r="W3" t="s">
        <v>19</v>
      </c>
      <c r="X3" t="s">
        <v>258</v>
      </c>
      <c r="Y3" t="s">
        <v>19</v>
      </c>
      <c r="Z3" t="s">
        <v>19</v>
      </c>
      <c r="AA3" t="s">
        <v>19</v>
      </c>
      <c r="AB3" s="5">
        <f t="shared" si="0"/>
        <v>1</v>
      </c>
    </row>
    <row r="4" spans="1:28" x14ac:dyDescent="0.3">
      <c r="D4" t="s">
        <v>708</v>
      </c>
      <c r="I4" s="11">
        <f>+I6</f>
        <v>411</v>
      </c>
      <c r="J4" s="11">
        <f t="shared" ref="J4:T4" si="1">+J6</f>
        <v>382</v>
      </c>
      <c r="K4" s="11">
        <f t="shared" si="1"/>
        <v>473</v>
      </c>
      <c r="L4" s="11">
        <f t="shared" si="1"/>
        <v>434</v>
      </c>
      <c r="M4" s="11">
        <f t="shared" si="1"/>
        <v>473</v>
      </c>
      <c r="N4" s="11">
        <f t="shared" si="1"/>
        <v>516</v>
      </c>
      <c r="O4" s="11">
        <f t="shared" si="1"/>
        <v>500</v>
      </c>
      <c r="P4" s="11">
        <f t="shared" si="1"/>
        <v>501</v>
      </c>
      <c r="Q4" s="11">
        <f t="shared" si="1"/>
        <v>508</v>
      </c>
      <c r="R4" s="11">
        <f t="shared" si="1"/>
        <v>396</v>
      </c>
      <c r="S4" s="11">
        <f t="shared" si="1"/>
        <v>498</v>
      </c>
      <c r="T4" s="11">
        <f t="shared" si="1"/>
        <v>399</v>
      </c>
    </row>
    <row r="5" spans="1:28" x14ac:dyDescent="0.3">
      <c r="A5">
        <v>111</v>
      </c>
      <c r="B5">
        <v>318964</v>
      </c>
      <c r="C5" t="s">
        <v>269</v>
      </c>
      <c r="D5" t="s">
        <v>377</v>
      </c>
      <c r="E5">
        <v>34.960299999999997</v>
      </c>
      <c r="F5">
        <v>-80.077200000000005</v>
      </c>
      <c r="G5">
        <v>146.30000000000001</v>
      </c>
      <c r="H5" t="s">
        <v>14</v>
      </c>
      <c r="I5">
        <v>398</v>
      </c>
      <c r="J5">
        <v>356</v>
      </c>
      <c r="K5">
        <v>403</v>
      </c>
      <c r="L5">
        <v>294</v>
      </c>
      <c r="M5">
        <v>294</v>
      </c>
      <c r="N5">
        <v>422</v>
      </c>
      <c r="O5">
        <v>490</v>
      </c>
      <c r="P5">
        <v>459</v>
      </c>
      <c r="Q5">
        <v>395</v>
      </c>
      <c r="R5">
        <v>380</v>
      </c>
      <c r="S5">
        <v>330</v>
      </c>
      <c r="T5">
        <v>320</v>
      </c>
      <c r="U5" t="s">
        <v>270</v>
      </c>
      <c r="V5" t="s">
        <v>270</v>
      </c>
      <c r="W5" t="s">
        <v>16</v>
      </c>
      <c r="X5" t="s">
        <v>271</v>
      </c>
      <c r="Y5">
        <v>34.96</v>
      </c>
      <c r="Z5">
        <v>-80.08</v>
      </c>
      <c r="AA5" t="s">
        <v>18</v>
      </c>
      <c r="AB5" s="5">
        <f t="shared" si="0"/>
        <v>2</v>
      </c>
    </row>
    <row r="6" spans="1:28" x14ac:dyDescent="0.3">
      <c r="A6">
        <v>106</v>
      </c>
      <c r="B6">
        <v>318694</v>
      </c>
      <c r="C6" t="s">
        <v>259</v>
      </c>
      <c r="D6" t="s">
        <v>374</v>
      </c>
      <c r="E6">
        <v>36.3919</v>
      </c>
      <c r="F6">
        <v>-81.303899999999999</v>
      </c>
      <c r="G6">
        <v>876.3</v>
      </c>
      <c r="H6" t="s">
        <v>14</v>
      </c>
      <c r="I6">
        <v>411</v>
      </c>
      <c r="J6">
        <v>382</v>
      </c>
      <c r="K6">
        <v>473</v>
      </c>
      <c r="L6">
        <v>434</v>
      </c>
      <c r="M6">
        <v>473</v>
      </c>
      <c r="N6">
        <v>516</v>
      </c>
      <c r="O6">
        <v>500</v>
      </c>
      <c r="P6">
        <v>501</v>
      </c>
      <c r="Q6">
        <v>508</v>
      </c>
      <c r="R6">
        <v>396</v>
      </c>
      <c r="S6">
        <v>498</v>
      </c>
      <c r="T6">
        <v>399</v>
      </c>
      <c r="U6" t="s">
        <v>260</v>
      </c>
      <c r="V6" t="s">
        <v>261</v>
      </c>
      <c r="W6" t="s">
        <v>16</v>
      </c>
      <c r="X6" t="s">
        <v>262</v>
      </c>
      <c r="Y6">
        <v>36.39</v>
      </c>
      <c r="Z6">
        <v>-81.3</v>
      </c>
      <c r="AA6" t="s">
        <v>18</v>
      </c>
      <c r="AB6" s="5">
        <f t="shared" si="0"/>
        <v>1</v>
      </c>
    </row>
    <row r="7" spans="1:28" x14ac:dyDescent="0.3">
      <c r="A7">
        <v>5</v>
      </c>
      <c r="B7">
        <v>310506</v>
      </c>
      <c r="C7" t="s">
        <v>35</v>
      </c>
      <c r="D7" t="s">
        <v>309</v>
      </c>
      <c r="E7">
        <v>36.1616</v>
      </c>
      <c r="F7">
        <v>-81.874099999999999</v>
      </c>
      <c r="G7">
        <v>1149.0999999999999</v>
      </c>
      <c r="H7" t="s">
        <v>14</v>
      </c>
      <c r="I7">
        <v>410</v>
      </c>
      <c r="J7">
        <v>397</v>
      </c>
      <c r="K7">
        <v>405</v>
      </c>
      <c r="L7">
        <v>412</v>
      </c>
      <c r="M7">
        <v>431</v>
      </c>
      <c r="N7">
        <v>431</v>
      </c>
      <c r="O7">
        <v>513</v>
      </c>
      <c r="P7">
        <v>428</v>
      </c>
      <c r="Q7">
        <v>436</v>
      </c>
      <c r="R7">
        <v>367</v>
      </c>
      <c r="S7">
        <v>366</v>
      </c>
      <c r="T7">
        <v>351</v>
      </c>
      <c r="U7" t="s">
        <v>36</v>
      </c>
      <c r="V7" t="s">
        <v>36</v>
      </c>
      <c r="W7" t="s">
        <v>16</v>
      </c>
      <c r="X7" t="s">
        <v>37</v>
      </c>
      <c r="Y7">
        <v>36.159999999999997</v>
      </c>
      <c r="Z7">
        <v>-81.87</v>
      </c>
      <c r="AA7" t="s">
        <v>18</v>
      </c>
      <c r="AB7" s="5">
        <f t="shared" si="0"/>
        <v>1</v>
      </c>
    </row>
    <row r="8" spans="1:28" x14ac:dyDescent="0.3">
      <c r="A8">
        <v>4</v>
      </c>
      <c r="B8">
        <v>310375</v>
      </c>
      <c r="C8" t="s">
        <v>31</v>
      </c>
      <c r="D8" t="s">
        <v>308</v>
      </c>
      <c r="E8">
        <v>35.3872</v>
      </c>
      <c r="F8">
        <v>-76.776300000000006</v>
      </c>
      <c r="G8">
        <v>6.1</v>
      </c>
      <c r="H8" t="s">
        <v>14</v>
      </c>
      <c r="I8">
        <v>386</v>
      </c>
      <c r="J8">
        <v>314</v>
      </c>
      <c r="K8">
        <v>399</v>
      </c>
      <c r="L8">
        <v>321</v>
      </c>
      <c r="M8">
        <v>393</v>
      </c>
      <c r="N8">
        <v>502</v>
      </c>
      <c r="O8">
        <v>553</v>
      </c>
      <c r="P8">
        <v>612</v>
      </c>
      <c r="Q8">
        <v>518</v>
      </c>
      <c r="R8">
        <v>348</v>
      </c>
      <c r="S8">
        <v>308</v>
      </c>
      <c r="T8">
        <v>318</v>
      </c>
      <c r="U8" t="s">
        <v>32</v>
      </c>
      <c r="V8" t="s">
        <v>33</v>
      </c>
      <c r="W8" t="s">
        <v>16</v>
      </c>
      <c r="X8" t="s">
        <v>34</v>
      </c>
      <c r="Y8">
        <v>35.39</v>
      </c>
      <c r="Z8">
        <v>-76.78</v>
      </c>
      <c r="AA8" t="s">
        <v>18</v>
      </c>
      <c r="AB8" s="5">
        <f t="shared" si="0"/>
        <v>3</v>
      </c>
    </row>
    <row r="9" spans="1:28" x14ac:dyDescent="0.3">
      <c r="A9">
        <v>61</v>
      </c>
      <c r="B9">
        <v>314962</v>
      </c>
      <c r="C9" t="s">
        <v>166</v>
      </c>
      <c r="D9" t="s">
        <v>350</v>
      </c>
      <c r="E9">
        <v>36.1325</v>
      </c>
      <c r="F9">
        <v>-77.1708</v>
      </c>
      <c r="G9">
        <v>15.2</v>
      </c>
      <c r="H9" t="s">
        <v>14</v>
      </c>
      <c r="I9">
        <v>334</v>
      </c>
      <c r="J9">
        <v>323</v>
      </c>
      <c r="K9">
        <v>382</v>
      </c>
      <c r="L9">
        <v>301</v>
      </c>
      <c r="M9">
        <v>341</v>
      </c>
      <c r="N9">
        <v>442</v>
      </c>
      <c r="O9">
        <v>553</v>
      </c>
      <c r="P9">
        <v>517</v>
      </c>
      <c r="Q9">
        <v>562</v>
      </c>
      <c r="R9">
        <v>308</v>
      </c>
      <c r="S9">
        <v>292</v>
      </c>
      <c r="T9">
        <v>324</v>
      </c>
      <c r="U9" t="s">
        <v>167</v>
      </c>
      <c r="V9" t="s">
        <v>167</v>
      </c>
      <c r="W9" t="s">
        <v>16</v>
      </c>
      <c r="X9" t="s">
        <v>168</v>
      </c>
      <c r="Y9">
        <v>36.130000000000003</v>
      </c>
      <c r="Z9">
        <v>-77.17</v>
      </c>
      <c r="AA9" t="s">
        <v>18</v>
      </c>
      <c r="AB9" s="5">
        <f t="shared" si="0"/>
        <v>3</v>
      </c>
    </row>
    <row r="10" spans="1:28" x14ac:dyDescent="0.3">
      <c r="A10">
        <v>33</v>
      </c>
      <c r="B10">
        <v>312732</v>
      </c>
      <c r="C10" t="s">
        <v>111</v>
      </c>
      <c r="D10" t="s">
        <v>329</v>
      </c>
      <c r="E10">
        <v>34.604399999999998</v>
      </c>
      <c r="F10">
        <v>-78.647999999999996</v>
      </c>
      <c r="G10">
        <v>31.4</v>
      </c>
      <c r="H10" t="s">
        <v>14</v>
      </c>
      <c r="I10">
        <v>381</v>
      </c>
      <c r="J10">
        <v>344</v>
      </c>
      <c r="K10">
        <v>391</v>
      </c>
      <c r="L10">
        <v>312</v>
      </c>
      <c r="M10">
        <v>367</v>
      </c>
      <c r="N10">
        <v>470</v>
      </c>
      <c r="O10">
        <v>575</v>
      </c>
      <c r="P10">
        <v>595</v>
      </c>
      <c r="Q10">
        <v>529</v>
      </c>
      <c r="R10">
        <v>338</v>
      </c>
      <c r="S10">
        <v>316</v>
      </c>
      <c r="T10">
        <v>314</v>
      </c>
      <c r="U10" t="s">
        <v>112</v>
      </c>
      <c r="V10" t="s">
        <v>113</v>
      </c>
      <c r="W10" t="s">
        <v>16</v>
      </c>
      <c r="X10" t="s">
        <v>103</v>
      </c>
      <c r="Y10">
        <v>34.6</v>
      </c>
      <c r="Z10">
        <v>-78.650000000000006</v>
      </c>
      <c r="AA10" t="s">
        <v>18</v>
      </c>
      <c r="AB10" s="5">
        <f t="shared" si="0"/>
        <v>3</v>
      </c>
    </row>
    <row r="11" spans="1:28" x14ac:dyDescent="0.3">
      <c r="A11">
        <v>155</v>
      </c>
      <c r="B11">
        <v>317813</v>
      </c>
      <c r="C11" t="s">
        <v>242</v>
      </c>
      <c r="D11" t="s">
        <v>369</v>
      </c>
      <c r="E11">
        <v>33.9283</v>
      </c>
      <c r="F11">
        <v>-78.389399999999995</v>
      </c>
      <c r="G11">
        <v>6.1</v>
      </c>
      <c r="H11" t="s">
        <v>14</v>
      </c>
      <c r="I11">
        <v>423</v>
      </c>
      <c r="J11">
        <v>343</v>
      </c>
      <c r="K11">
        <v>412</v>
      </c>
      <c r="L11">
        <v>305</v>
      </c>
      <c r="M11">
        <v>388</v>
      </c>
      <c r="N11">
        <v>459</v>
      </c>
      <c r="O11">
        <v>616</v>
      </c>
      <c r="P11">
        <v>688</v>
      </c>
      <c r="Q11">
        <v>712</v>
      </c>
      <c r="R11">
        <v>398</v>
      </c>
      <c r="S11">
        <v>288</v>
      </c>
      <c r="T11">
        <v>342</v>
      </c>
      <c r="U11" t="s">
        <v>19</v>
      </c>
      <c r="V11" t="s">
        <v>19</v>
      </c>
      <c r="W11" t="s">
        <v>19</v>
      </c>
      <c r="X11" t="s">
        <v>243</v>
      </c>
      <c r="Y11" t="s">
        <v>19</v>
      </c>
      <c r="Z11" t="s">
        <v>19</v>
      </c>
      <c r="AA11" t="s">
        <v>19</v>
      </c>
      <c r="AB11" s="5">
        <f t="shared" si="0"/>
        <v>3</v>
      </c>
    </row>
    <row r="12" spans="1:28" x14ac:dyDescent="0.3">
      <c r="A12">
        <v>129</v>
      </c>
      <c r="B12">
        <v>3812</v>
      </c>
      <c r="C12" t="s">
        <v>29</v>
      </c>
      <c r="D12" t="s">
        <v>306</v>
      </c>
      <c r="E12">
        <v>35.431939999999997</v>
      </c>
      <c r="F12">
        <v>-82.537499999999994</v>
      </c>
      <c r="G12">
        <v>645.29999999999995</v>
      </c>
      <c r="H12" t="s">
        <v>14</v>
      </c>
      <c r="I12">
        <v>367</v>
      </c>
      <c r="J12">
        <v>376</v>
      </c>
      <c r="K12">
        <v>383</v>
      </c>
      <c r="L12">
        <v>333</v>
      </c>
      <c r="M12">
        <v>366</v>
      </c>
      <c r="N12">
        <v>465</v>
      </c>
      <c r="O12">
        <v>431</v>
      </c>
      <c r="P12">
        <v>440</v>
      </c>
      <c r="Q12">
        <v>381</v>
      </c>
      <c r="R12">
        <v>291</v>
      </c>
      <c r="S12">
        <v>365</v>
      </c>
      <c r="T12">
        <v>359</v>
      </c>
      <c r="U12" t="s">
        <v>19</v>
      </c>
      <c r="V12" t="s">
        <v>19</v>
      </c>
      <c r="W12" t="s">
        <v>19</v>
      </c>
      <c r="X12" t="s">
        <v>28</v>
      </c>
      <c r="Y12" t="s">
        <v>19</v>
      </c>
      <c r="Z12" t="s">
        <v>19</v>
      </c>
      <c r="AA12" t="s">
        <v>19</v>
      </c>
      <c r="AB12" s="5">
        <f t="shared" si="0"/>
        <v>1</v>
      </c>
    </row>
    <row r="13" spans="1:28" x14ac:dyDescent="0.3">
      <c r="A13">
        <v>11</v>
      </c>
      <c r="B13">
        <v>311081</v>
      </c>
      <c r="C13" t="s">
        <v>50</v>
      </c>
      <c r="D13" t="s">
        <v>313</v>
      </c>
      <c r="E13">
        <v>35.7425</v>
      </c>
      <c r="F13">
        <v>-81.837199999999996</v>
      </c>
      <c r="G13">
        <v>350.5</v>
      </c>
      <c r="H13" t="s">
        <v>14</v>
      </c>
      <c r="I13">
        <v>372</v>
      </c>
      <c r="J13">
        <v>400</v>
      </c>
      <c r="K13">
        <v>425</v>
      </c>
      <c r="L13">
        <v>385</v>
      </c>
      <c r="M13">
        <v>376</v>
      </c>
      <c r="N13">
        <v>449</v>
      </c>
      <c r="O13">
        <v>489</v>
      </c>
      <c r="P13">
        <v>454</v>
      </c>
      <c r="Q13">
        <v>416</v>
      </c>
      <c r="R13">
        <v>356</v>
      </c>
      <c r="S13">
        <v>373</v>
      </c>
      <c r="T13">
        <v>390</v>
      </c>
      <c r="U13" t="s">
        <v>51</v>
      </c>
      <c r="V13" t="s">
        <v>52</v>
      </c>
      <c r="W13" t="s">
        <v>16</v>
      </c>
      <c r="X13" t="s">
        <v>53</v>
      </c>
      <c r="Y13">
        <v>35.74</v>
      </c>
      <c r="Z13">
        <v>-81.84</v>
      </c>
      <c r="AA13" t="s">
        <v>18</v>
      </c>
      <c r="AB13" s="5">
        <f t="shared" si="0"/>
        <v>1</v>
      </c>
    </row>
    <row r="14" spans="1:28" x14ac:dyDescent="0.3">
      <c r="A14">
        <v>23</v>
      </c>
      <c r="B14">
        <v>311975</v>
      </c>
      <c r="C14" t="s">
        <v>83</v>
      </c>
      <c r="D14" t="s">
        <v>325</v>
      </c>
      <c r="E14">
        <v>35.4163</v>
      </c>
      <c r="F14">
        <v>-80.600499999999997</v>
      </c>
      <c r="G14">
        <v>210.3</v>
      </c>
      <c r="H14" t="s">
        <v>14</v>
      </c>
      <c r="I14">
        <v>362</v>
      </c>
      <c r="J14">
        <v>339</v>
      </c>
      <c r="K14">
        <v>422</v>
      </c>
      <c r="L14">
        <v>359</v>
      </c>
      <c r="M14">
        <v>343</v>
      </c>
      <c r="N14">
        <v>435</v>
      </c>
      <c r="O14">
        <v>516</v>
      </c>
      <c r="P14">
        <v>412</v>
      </c>
      <c r="Q14">
        <v>383</v>
      </c>
      <c r="R14">
        <v>366</v>
      </c>
      <c r="S14">
        <v>335</v>
      </c>
      <c r="T14">
        <v>319</v>
      </c>
      <c r="U14" t="s">
        <v>84</v>
      </c>
      <c r="V14" t="s">
        <v>84</v>
      </c>
      <c r="W14" t="s">
        <v>16</v>
      </c>
      <c r="X14" t="s">
        <v>85</v>
      </c>
      <c r="Y14">
        <v>35.42</v>
      </c>
      <c r="Z14">
        <v>-80.599999999999994</v>
      </c>
      <c r="AA14" t="s">
        <v>18</v>
      </c>
      <c r="AB14" s="5">
        <f t="shared" si="0"/>
        <v>1.5</v>
      </c>
    </row>
    <row r="15" spans="1:28" x14ac:dyDescent="0.3">
      <c r="A15">
        <v>60</v>
      </c>
      <c r="B15">
        <v>314938</v>
      </c>
      <c r="C15" t="s">
        <v>163</v>
      </c>
      <c r="D15" t="s">
        <v>349</v>
      </c>
      <c r="E15">
        <v>35.914999999999999</v>
      </c>
      <c r="F15">
        <v>-81.537700000000001</v>
      </c>
      <c r="G15">
        <v>365.8</v>
      </c>
      <c r="H15" t="s">
        <v>14</v>
      </c>
      <c r="I15">
        <v>353</v>
      </c>
      <c r="J15">
        <v>367</v>
      </c>
      <c r="K15">
        <v>433</v>
      </c>
      <c r="L15">
        <v>384</v>
      </c>
      <c r="M15">
        <v>434</v>
      </c>
      <c r="N15">
        <v>457</v>
      </c>
      <c r="O15">
        <v>485</v>
      </c>
      <c r="P15">
        <v>392</v>
      </c>
      <c r="Q15">
        <v>419</v>
      </c>
      <c r="R15">
        <v>340</v>
      </c>
      <c r="S15">
        <v>325</v>
      </c>
      <c r="T15">
        <v>378</v>
      </c>
      <c r="U15" t="s">
        <v>164</v>
      </c>
      <c r="V15" t="s">
        <v>164</v>
      </c>
      <c r="W15" t="s">
        <v>16</v>
      </c>
      <c r="X15" t="s">
        <v>165</v>
      </c>
      <c r="Y15">
        <v>35.92</v>
      </c>
      <c r="Z15">
        <v>-81.540000000000006</v>
      </c>
      <c r="AA15" t="s">
        <v>18</v>
      </c>
      <c r="AB15" s="5">
        <f t="shared" si="0"/>
        <v>1</v>
      </c>
    </row>
    <row r="16" spans="1:28" x14ac:dyDescent="0.3">
      <c r="D16" t="s">
        <v>712</v>
      </c>
      <c r="I16" s="11">
        <f>+I71</f>
        <v>390</v>
      </c>
      <c r="J16" s="11">
        <f t="shared" ref="J16:T16" si="2">+J71</f>
        <v>325</v>
      </c>
      <c r="K16" s="11">
        <f t="shared" si="2"/>
        <v>385</v>
      </c>
      <c r="L16" s="11">
        <f t="shared" si="2"/>
        <v>312</v>
      </c>
      <c r="M16" s="11">
        <f t="shared" si="2"/>
        <v>398</v>
      </c>
      <c r="N16" s="11">
        <f t="shared" si="2"/>
        <v>459</v>
      </c>
      <c r="O16" s="11">
        <f t="shared" si="2"/>
        <v>558</v>
      </c>
      <c r="P16" s="11">
        <f t="shared" si="2"/>
        <v>569</v>
      </c>
      <c r="Q16" s="11">
        <f t="shared" si="2"/>
        <v>476</v>
      </c>
      <c r="R16" s="11">
        <f t="shared" si="2"/>
        <v>314</v>
      </c>
      <c r="S16" s="11">
        <f t="shared" si="2"/>
        <v>326</v>
      </c>
      <c r="T16" s="11">
        <f t="shared" si="2"/>
        <v>342</v>
      </c>
    </row>
    <row r="17" spans="1:28" x14ac:dyDescent="0.3">
      <c r="A17">
        <v>134</v>
      </c>
      <c r="B17">
        <v>93765</v>
      </c>
      <c r="C17" t="s">
        <v>42</v>
      </c>
      <c r="D17" t="s">
        <v>307</v>
      </c>
      <c r="E17">
        <v>34.733609999999999</v>
      </c>
      <c r="F17">
        <v>-76.660560000000004</v>
      </c>
      <c r="G17">
        <v>3.4</v>
      </c>
      <c r="H17" t="s">
        <v>14</v>
      </c>
      <c r="I17">
        <v>408</v>
      </c>
      <c r="J17">
        <v>320</v>
      </c>
      <c r="K17">
        <v>420</v>
      </c>
      <c r="L17">
        <v>355</v>
      </c>
      <c r="M17">
        <v>393</v>
      </c>
      <c r="N17">
        <v>464</v>
      </c>
      <c r="O17">
        <v>602</v>
      </c>
      <c r="P17">
        <v>770</v>
      </c>
      <c r="Q17">
        <v>596</v>
      </c>
      <c r="R17">
        <v>388</v>
      </c>
      <c r="S17">
        <v>387</v>
      </c>
      <c r="T17">
        <v>352</v>
      </c>
      <c r="U17" t="s">
        <v>19</v>
      </c>
      <c r="V17" t="s">
        <v>19</v>
      </c>
      <c r="W17" t="s">
        <v>19</v>
      </c>
      <c r="X17" t="s">
        <v>30</v>
      </c>
      <c r="Y17" t="s">
        <v>19</v>
      </c>
      <c r="Z17" t="s">
        <v>19</v>
      </c>
      <c r="AA17" t="s">
        <v>19</v>
      </c>
      <c r="AB17" s="5">
        <f t="shared" si="0"/>
        <v>3</v>
      </c>
    </row>
    <row r="18" spans="1:28" x14ac:dyDescent="0.3">
      <c r="A18">
        <v>187</v>
      </c>
      <c r="B18">
        <v>319704</v>
      </c>
      <c r="C18" t="s">
        <v>300</v>
      </c>
      <c r="D18" t="s">
        <v>383</v>
      </c>
      <c r="E18">
        <v>36.378300000000003</v>
      </c>
      <c r="F18">
        <v>-79.254400000000004</v>
      </c>
      <c r="G18">
        <v>199.6</v>
      </c>
      <c r="H18" t="s">
        <v>14</v>
      </c>
      <c r="I18">
        <v>335</v>
      </c>
      <c r="J18">
        <v>330</v>
      </c>
      <c r="K18">
        <v>445</v>
      </c>
      <c r="L18">
        <v>407</v>
      </c>
      <c r="M18">
        <v>378</v>
      </c>
      <c r="N18">
        <v>352</v>
      </c>
      <c r="O18">
        <v>436</v>
      </c>
      <c r="P18">
        <v>580</v>
      </c>
      <c r="Q18">
        <v>462</v>
      </c>
      <c r="R18">
        <v>345</v>
      </c>
      <c r="S18">
        <v>381</v>
      </c>
      <c r="T18">
        <v>349</v>
      </c>
      <c r="U18" t="s">
        <v>19</v>
      </c>
      <c r="V18" t="s">
        <v>19</v>
      </c>
      <c r="W18" t="s">
        <v>19</v>
      </c>
      <c r="X18" t="s">
        <v>301</v>
      </c>
      <c r="Y18" t="s">
        <v>19</v>
      </c>
      <c r="Z18" t="s">
        <v>19</v>
      </c>
      <c r="AA18" t="s">
        <v>19</v>
      </c>
      <c r="AB18" s="5">
        <f t="shared" si="0"/>
        <v>3</v>
      </c>
    </row>
    <row r="19" spans="1:28" x14ac:dyDescent="0.3">
      <c r="A19">
        <v>175</v>
      </c>
      <c r="B19">
        <v>3810</v>
      </c>
      <c r="C19" t="s">
        <v>143</v>
      </c>
      <c r="D19" t="s">
        <v>65</v>
      </c>
      <c r="E19">
        <v>35.7425</v>
      </c>
      <c r="F19">
        <v>-81.381900000000002</v>
      </c>
      <c r="G19">
        <v>348.4</v>
      </c>
      <c r="H19" t="s">
        <v>14</v>
      </c>
      <c r="I19">
        <v>383</v>
      </c>
      <c r="J19">
        <v>372</v>
      </c>
      <c r="K19">
        <v>424</v>
      </c>
      <c r="L19">
        <v>371</v>
      </c>
      <c r="M19">
        <v>368</v>
      </c>
      <c r="N19">
        <v>412</v>
      </c>
      <c r="O19">
        <v>444</v>
      </c>
      <c r="P19">
        <v>410</v>
      </c>
      <c r="Q19">
        <v>371</v>
      </c>
      <c r="R19">
        <v>355</v>
      </c>
      <c r="S19">
        <v>346</v>
      </c>
      <c r="T19">
        <v>370</v>
      </c>
      <c r="U19" t="s">
        <v>19</v>
      </c>
      <c r="V19" t="s">
        <v>19</v>
      </c>
      <c r="W19" t="s">
        <v>19</v>
      </c>
      <c r="X19" t="s">
        <v>66</v>
      </c>
      <c r="Y19" t="s">
        <v>19</v>
      </c>
      <c r="Z19" t="s">
        <v>19</v>
      </c>
      <c r="AA19" t="s">
        <v>19</v>
      </c>
      <c r="AB19" s="5">
        <f t="shared" si="0"/>
        <v>1</v>
      </c>
    </row>
    <row r="20" spans="1:28" x14ac:dyDescent="0.3">
      <c r="A20">
        <v>99</v>
      </c>
      <c r="B20">
        <v>317924</v>
      </c>
      <c r="C20" t="s">
        <v>247</v>
      </c>
      <c r="D20" t="s">
        <v>370</v>
      </c>
      <c r="E20">
        <v>35.760599999999997</v>
      </c>
      <c r="F20">
        <v>-79.462199999999996</v>
      </c>
      <c r="G20">
        <v>185.9</v>
      </c>
      <c r="H20" t="s">
        <v>14</v>
      </c>
      <c r="I20">
        <v>395</v>
      </c>
      <c r="J20">
        <v>353</v>
      </c>
      <c r="K20">
        <v>449</v>
      </c>
      <c r="L20">
        <v>343</v>
      </c>
      <c r="M20">
        <v>390</v>
      </c>
      <c r="N20">
        <v>390</v>
      </c>
      <c r="O20">
        <v>454</v>
      </c>
      <c r="P20">
        <v>413</v>
      </c>
      <c r="Q20">
        <v>424</v>
      </c>
      <c r="R20">
        <v>377</v>
      </c>
      <c r="S20">
        <v>349</v>
      </c>
      <c r="T20">
        <v>325</v>
      </c>
      <c r="U20" t="s">
        <v>248</v>
      </c>
      <c r="V20" t="s">
        <v>249</v>
      </c>
      <c r="W20" t="s">
        <v>16</v>
      </c>
      <c r="X20" t="s">
        <v>250</v>
      </c>
      <c r="Y20">
        <v>35.76</v>
      </c>
      <c r="Z20">
        <v>-79.459999999999994</v>
      </c>
      <c r="AA20" t="s">
        <v>18</v>
      </c>
      <c r="AB20" s="5">
        <f t="shared" si="0"/>
        <v>3</v>
      </c>
    </row>
    <row r="21" spans="1:28" x14ac:dyDescent="0.3">
      <c r="A21">
        <v>77</v>
      </c>
      <c r="B21">
        <v>316001</v>
      </c>
      <c r="C21" t="s">
        <v>195</v>
      </c>
      <c r="D21" t="s">
        <v>358</v>
      </c>
      <c r="E21">
        <v>35.096110000000003</v>
      </c>
      <c r="F21">
        <v>-84.023889999999994</v>
      </c>
      <c r="G21">
        <v>480.4</v>
      </c>
      <c r="H21" t="s">
        <v>14</v>
      </c>
      <c r="I21">
        <v>542</v>
      </c>
      <c r="J21">
        <v>526</v>
      </c>
      <c r="K21">
        <v>499</v>
      </c>
      <c r="L21">
        <v>432</v>
      </c>
      <c r="M21">
        <v>510</v>
      </c>
      <c r="N21">
        <v>491</v>
      </c>
      <c r="O21">
        <v>508</v>
      </c>
      <c r="P21">
        <v>426</v>
      </c>
      <c r="Q21">
        <v>447</v>
      </c>
      <c r="R21">
        <v>332</v>
      </c>
      <c r="S21">
        <v>485</v>
      </c>
      <c r="T21">
        <v>549</v>
      </c>
      <c r="U21" t="s">
        <v>196</v>
      </c>
      <c r="V21" t="s">
        <v>196</v>
      </c>
      <c r="W21" t="s">
        <v>16</v>
      </c>
      <c r="X21" t="s">
        <v>197</v>
      </c>
      <c r="Y21">
        <v>35.1</v>
      </c>
      <c r="Z21">
        <v>-84.02</v>
      </c>
      <c r="AA21" t="s">
        <v>18</v>
      </c>
      <c r="AB21" s="5">
        <f t="shared" si="0"/>
        <v>1</v>
      </c>
    </row>
    <row r="22" spans="1:28" x14ac:dyDescent="0.3">
      <c r="A22">
        <v>31</v>
      </c>
      <c r="B22">
        <v>312635</v>
      </c>
      <c r="C22" t="s">
        <v>105</v>
      </c>
      <c r="D22" t="s">
        <v>331</v>
      </c>
      <c r="E22">
        <v>36.016390000000001</v>
      </c>
      <c r="F22">
        <v>-76.551670000000001</v>
      </c>
      <c r="G22">
        <v>3</v>
      </c>
      <c r="H22" t="s">
        <v>14</v>
      </c>
      <c r="I22">
        <v>351</v>
      </c>
      <c r="J22">
        <v>315</v>
      </c>
      <c r="K22">
        <v>402</v>
      </c>
      <c r="L22">
        <v>293</v>
      </c>
      <c r="M22">
        <v>374</v>
      </c>
      <c r="N22">
        <v>482</v>
      </c>
      <c r="O22">
        <v>548</v>
      </c>
      <c r="P22">
        <v>592</v>
      </c>
      <c r="Q22">
        <v>494</v>
      </c>
      <c r="R22">
        <v>338</v>
      </c>
      <c r="S22">
        <v>317</v>
      </c>
      <c r="T22">
        <v>305</v>
      </c>
      <c r="U22" t="s">
        <v>106</v>
      </c>
      <c r="V22" t="s">
        <v>106</v>
      </c>
      <c r="W22" t="s">
        <v>16</v>
      </c>
      <c r="X22" t="s">
        <v>107</v>
      </c>
      <c r="Y22">
        <v>36.020000000000003</v>
      </c>
      <c r="Z22">
        <v>-76.55</v>
      </c>
      <c r="AA22" t="s">
        <v>18</v>
      </c>
      <c r="AB22" s="5">
        <f t="shared" si="0"/>
        <v>3</v>
      </c>
    </row>
    <row r="23" spans="1:28" x14ac:dyDescent="0.3">
      <c r="A23">
        <v>172</v>
      </c>
      <c r="B23">
        <v>313921</v>
      </c>
      <c r="C23" t="s">
        <v>140</v>
      </c>
      <c r="D23" t="s">
        <v>342</v>
      </c>
      <c r="E23">
        <v>35.053330000000003</v>
      </c>
      <c r="F23">
        <v>-83.825000000000003</v>
      </c>
      <c r="G23">
        <v>579.1</v>
      </c>
      <c r="H23" t="s">
        <v>14</v>
      </c>
      <c r="I23">
        <v>553</v>
      </c>
      <c r="J23">
        <v>525</v>
      </c>
      <c r="K23">
        <v>497</v>
      </c>
      <c r="L23">
        <v>441</v>
      </c>
      <c r="M23">
        <v>537</v>
      </c>
      <c r="N23">
        <v>536</v>
      </c>
      <c r="O23">
        <v>507</v>
      </c>
      <c r="P23">
        <v>400</v>
      </c>
      <c r="Q23">
        <v>518</v>
      </c>
      <c r="R23">
        <v>359</v>
      </c>
      <c r="S23">
        <v>600</v>
      </c>
      <c r="T23">
        <v>472</v>
      </c>
      <c r="U23" t="s">
        <v>19</v>
      </c>
      <c r="V23" t="s">
        <v>19</v>
      </c>
      <c r="W23" t="s">
        <v>19</v>
      </c>
      <c r="X23" t="s">
        <v>141</v>
      </c>
      <c r="Y23" t="s">
        <v>19</v>
      </c>
      <c r="Z23" t="s">
        <v>19</v>
      </c>
      <c r="AA23" t="s">
        <v>19</v>
      </c>
      <c r="AB23" s="5">
        <f t="shared" si="0"/>
        <v>1</v>
      </c>
    </row>
    <row r="24" spans="1:28" x14ac:dyDescent="0.3">
      <c r="A24">
        <v>98</v>
      </c>
      <c r="B24">
        <v>317845</v>
      </c>
      <c r="C24" t="s">
        <v>244</v>
      </c>
      <c r="D24" t="s">
        <v>318</v>
      </c>
      <c r="E24">
        <v>35.314399999999999</v>
      </c>
      <c r="F24">
        <v>-81.533600000000007</v>
      </c>
      <c r="G24">
        <v>280.39999999999998</v>
      </c>
      <c r="H24" t="s">
        <v>14</v>
      </c>
      <c r="I24">
        <v>404</v>
      </c>
      <c r="J24">
        <v>368</v>
      </c>
      <c r="K24">
        <v>472</v>
      </c>
      <c r="L24">
        <v>349</v>
      </c>
      <c r="M24">
        <v>410</v>
      </c>
      <c r="N24">
        <v>413</v>
      </c>
      <c r="O24">
        <v>419</v>
      </c>
      <c r="P24">
        <v>424</v>
      </c>
      <c r="Q24">
        <v>370</v>
      </c>
      <c r="R24">
        <v>380</v>
      </c>
      <c r="S24">
        <v>371</v>
      </c>
      <c r="T24">
        <v>409</v>
      </c>
      <c r="U24" t="s">
        <v>245</v>
      </c>
      <c r="V24" t="s">
        <v>246</v>
      </c>
      <c r="W24" t="s">
        <v>16</v>
      </c>
      <c r="X24" t="s">
        <v>62</v>
      </c>
      <c r="Y24">
        <v>35.31</v>
      </c>
      <c r="Z24">
        <v>-81.53</v>
      </c>
      <c r="AA24" t="s">
        <v>18</v>
      </c>
      <c r="AB24" s="5">
        <f t="shared" si="0"/>
        <v>1</v>
      </c>
    </row>
    <row r="25" spans="1:28" x14ac:dyDescent="0.3">
      <c r="A25">
        <v>116</v>
      </c>
      <c r="B25">
        <v>319357</v>
      </c>
      <c r="C25" t="s">
        <v>279</v>
      </c>
      <c r="D25" t="s">
        <v>379</v>
      </c>
      <c r="E25">
        <v>34.409399999999998</v>
      </c>
      <c r="F25">
        <v>-78.791300000000007</v>
      </c>
      <c r="G25">
        <v>27.4</v>
      </c>
      <c r="H25" t="s">
        <v>14</v>
      </c>
      <c r="I25">
        <v>380</v>
      </c>
      <c r="J25">
        <v>325</v>
      </c>
      <c r="K25">
        <v>386</v>
      </c>
      <c r="L25">
        <v>302</v>
      </c>
      <c r="M25">
        <v>423</v>
      </c>
      <c r="N25">
        <v>450</v>
      </c>
      <c r="O25">
        <v>551</v>
      </c>
      <c r="P25">
        <v>564</v>
      </c>
      <c r="Q25">
        <v>550</v>
      </c>
      <c r="R25">
        <v>309</v>
      </c>
      <c r="S25">
        <v>284</v>
      </c>
      <c r="T25">
        <v>304</v>
      </c>
      <c r="U25" t="s">
        <v>280</v>
      </c>
      <c r="V25" t="s">
        <v>281</v>
      </c>
      <c r="W25" t="s">
        <v>16</v>
      </c>
      <c r="X25" t="s">
        <v>278</v>
      </c>
      <c r="Y25">
        <v>34.409999999999997</v>
      </c>
      <c r="Z25">
        <v>-78.790000000000006</v>
      </c>
      <c r="AA25" t="s">
        <v>18</v>
      </c>
      <c r="AB25" s="5">
        <f t="shared" si="0"/>
        <v>3</v>
      </c>
    </row>
    <row r="26" spans="1:28" x14ac:dyDescent="0.3">
      <c r="A26">
        <v>160</v>
      </c>
      <c r="B26">
        <v>93719</v>
      </c>
      <c r="C26" t="s">
        <v>198</v>
      </c>
      <c r="D26" t="s">
        <v>359</v>
      </c>
      <c r="E26">
        <v>35.067700000000002</v>
      </c>
      <c r="F26">
        <v>-77.048000000000002</v>
      </c>
      <c r="G26">
        <v>5.8</v>
      </c>
      <c r="H26" t="s">
        <v>14</v>
      </c>
      <c r="I26">
        <v>402</v>
      </c>
      <c r="J26">
        <v>366</v>
      </c>
      <c r="K26">
        <v>439</v>
      </c>
      <c r="L26">
        <v>317</v>
      </c>
      <c r="M26">
        <v>415</v>
      </c>
      <c r="N26">
        <v>459</v>
      </c>
      <c r="O26">
        <v>617</v>
      </c>
      <c r="P26">
        <v>665</v>
      </c>
      <c r="Q26">
        <v>589</v>
      </c>
      <c r="R26">
        <v>326</v>
      </c>
      <c r="S26">
        <v>340</v>
      </c>
      <c r="T26">
        <v>340</v>
      </c>
      <c r="U26" t="s">
        <v>19</v>
      </c>
      <c r="V26" t="s">
        <v>19</v>
      </c>
      <c r="W26" t="s">
        <v>19</v>
      </c>
      <c r="X26" t="s">
        <v>199</v>
      </c>
      <c r="Y26" t="s">
        <v>19</v>
      </c>
      <c r="Z26" t="s">
        <v>19</v>
      </c>
      <c r="AA26" t="s">
        <v>19</v>
      </c>
      <c r="AB26" s="5">
        <f t="shared" si="0"/>
        <v>3</v>
      </c>
    </row>
    <row r="27" spans="1:28" x14ac:dyDescent="0.3">
      <c r="A27">
        <v>143</v>
      </c>
      <c r="B27">
        <v>93740</v>
      </c>
      <c r="C27" t="s">
        <v>119</v>
      </c>
      <c r="D27" t="s">
        <v>335</v>
      </c>
      <c r="E27">
        <v>34.991390000000003</v>
      </c>
      <c r="F27">
        <v>-78.880279999999999</v>
      </c>
      <c r="G27">
        <v>56.7</v>
      </c>
      <c r="H27" t="s">
        <v>14</v>
      </c>
      <c r="I27">
        <v>330</v>
      </c>
      <c r="J27">
        <v>276</v>
      </c>
      <c r="K27">
        <v>355</v>
      </c>
      <c r="L27">
        <v>282</v>
      </c>
      <c r="M27">
        <v>324</v>
      </c>
      <c r="N27">
        <v>435</v>
      </c>
      <c r="O27">
        <v>592</v>
      </c>
      <c r="P27">
        <v>549</v>
      </c>
      <c r="Q27">
        <v>440</v>
      </c>
      <c r="R27">
        <v>321</v>
      </c>
      <c r="S27">
        <v>277</v>
      </c>
      <c r="T27">
        <v>265</v>
      </c>
      <c r="U27" t="s">
        <v>19</v>
      </c>
      <c r="V27" t="s">
        <v>19</v>
      </c>
      <c r="W27" t="s">
        <v>19</v>
      </c>
      <c r="X27" t="s">
        <v>118</v>
      </c>
      <c r="Y27" t="s">
        <v>19</v>
      </c>
      <c r="Z27" t="s">
        <v>19</v>
      </c>
      <c r="AA27" t="s">
        <v>19</v>
      </c>
      <c r="AB27" s="5">
        <f t="shared" si="0"/>
        <v>3</v>
      </c>
    </row>
    <row r="28" spans="1:28" x14ac:dyDescent="0.3">
      <c r="D28" t="s">
        <v>713</v>
      </c>
      <c r="I28" s="11">
        <f>+I71</f>
        <v>390</v>
      </c>
      <c r="J28" s="11">
        <f t="shared" ref="J28:T28" si="3">+J71</f>
        <v>325</v>
      </c>
      <c r="K28" s="11">
        <f t="shared" si="3"/>
        <v>385</v>
      </c>
      <c r="L28" s="11">
        <f t="shared" si="3"/>
        <v>312</v>
      </c>
      <c r="M28" s="11">
        <f t="shared" si="3"/>
        <v>398</v>
      </c>
      <c r="N28" s="11">
        <f t="shared" si="3"/>
        <v>459</v>
      </c>
      <c r="O28" s="11">
        <f t="shared" si="3"/>
        <v>558</v>
      </c>
      <c r="P28" s="11">
        <f t="shared" si="3"/>
        <v>569</v>
      </c>
      <c r="Q28" s="11">
        <f t="shared" si="3"/>
        <v>476</v>
      </c>
      <c r="R28" s="11">
        <f t="shared" si="3"/>
        <v>314</v>
      </c>
      <c r="S28" s="11">
        <f t="shared" si="3"/>
        <v>326</v>
      </c>
      <c r="T28" s="11">
        <f t="shared" si="3"/>
        <v>342</v>
      </c>
    </row>
    <row r="29" spans="1:28" x14ac:dyDescent="0.3">
      <c r="A29">
        <v>183</v>
      </c>
      <c r="B29">
        <v>13766</v>
      </c>
      <c r="C29" t="s">
        <v>181</v>
      </c>
      <c r="D29" t="s">
        <v>316</v>
      </c>
      <c r="E29">
        <v>35.917299999999997</v>
      </c>
      <c r="F29">
        <v>-75.7</v>
      </c>
      <c r="G29">
        <v>4</v>
      </c>
      <c r="H29" t="s">
        <v>14</v>
      </c>
      <c r="I29">
        <v>413</v>
      </c>
      <c r="J29">
        <v>305</v>
      </c>
      <c r="K29">
        <v>431</v>
      </c>
      <c r="L29">
        <v>313</v>
      </c>
      <c r="M29">
        <v>392</v>
      </c>
      <c r="N29">
        <v>501</v>
      </c>
      <c r="O29">
        <v>518</v>
      </c>
      <c r="P29">
        <v>569</v>
      </c>
      <c r="Q29">
        <v>464</v>
      </c>
      <c r="R29">
        <v>344</v>
      </c>
      <c r="S29">
        <v>348</v>
      </c>
      <c r="T29">
        <v>399</v>
      </c>
      <c r="U29" t="s">
        <v>19</v>
      </c>
      <c r="V29" t="s">
        <v>19</v>
      </c>
      <c r="W29" t="s">
        <v>19</v>
      </c>
      <c r="X29" t="s">
        <v>57</v>
      </c>
      <c r="Y29" t="s">
        <v>19</v>
      </c>
      <c r="Z29" t="s">
        <v>19</v>
      </c>
      <c r="AA29" t="s">
        <v>19</v>
      </c>
      <c r="AB29" s="5">
        <f t="shared" si="0"/>
        <v>3</v>
      </c>
    </row>
    <row r="30" spans="1:28" x14ac:dyDescent="0.3">
      <c r="A30">
        <v>62</v>
      </c>
      <c r="B30">
        <v>314970</v>
      </c>
      <c r="C30" t="s">
        <v>169</v>
      </c>
      <c r="D30" t="s">
        <v>351</v>
      </c>
      <c r="E30">
        <v>35.845799999999997</v>
      </c>
      <c r="F30">
        <v>-80.259699999999995</v>
      </c>
      <c r="G30">
        <v>231.6</v>
      </c>
      <c r="H30" t="s">
        <v>14</v>
      </c>
      <c r="I30">
        <v>359</v>
      </c>
      <c r="J30">
        <v>371</v>
      </c>
      <c r="K30">
        <v>404</v>
      </c>
      <c r="L30">
        <v>372</v>
      </c>
      <c r="M30">
        <v>321</v>
      </c>
      <c r="N30">
        <v>414</v>
      </c>
      <c r="O30">
        <v>406</v>
      </c>
      <c r="P30">
        <v>412</v>
      </c>
      <c r="Q30">
        <v>382</v>
      </c>
      <c r="R30">
        <v>323</v>
      </c>
      <c r="S30">
        <v>341</v>
      </c>
      <c r="T30">
        <v>328</v>
      </c>
      <c r="U30" t="s">
        <v>170</v>
      </c>
      <c r="V30" t="s">
        <v>170</v>
      </c>
      <c r="W30" t="s">
        <v>16</v>
      </c>
      <c r="X30" t="s">
        <v>171</v>
      </c>
      <c r="Y30">
        <v>35.85</v>
      </c>
      <c r="Z30">
        <v>-80.260000000000005</v>
      </c>
      <c r="AA30" t="s">
        <v>18</v>
      </c>
      <c r="AB30" s="5">
        <f t="shared" si="0"/>
        <v>1.5</v>
      </c>
    </row>
    <row r="31" spans="1:28" x14ac:dyDescent="0.3">
      <c r="A31">
        <v>69</v>
      </c>
      <c r="B31">
        <v>315743</v>
      </c>
      <c r="C31" t="s">
        <v>186</v>
      </c>
      <c r="D31" t="s">
        <v>355</v>
      </c>
      <c r="E31">
        <v>35.843800000000002</v>
      </c>
      <c r="F31">
        <v>-80.497200000000007</v>
      </c>
      <c r="G31">
        <v>244.4</v>
      </c>
      <c r="H31" t="s">
        <v>14</v>
      </c>
      <c r="I31">
        <v>347</v>
      </c>
      <c r="J31">
        <v>358</v>
      </c>
      <c r="K31">
        <v>410</v>
      </c>
      <c r="L31">
        <v>371</v>
      </c>
      <c r="M31">
        <v>335</v>
      </c>
      <c r="N31">
        <v>426</v>
      </c>
      <c r="O31">
        <v>397</v>
      </c>
      <c r="P31">
        <v>393</v>
      </c>
      <c r="Q31">
        <v>384</v>
      </c>
      <c r="R31">
        <v>344</v>
      </c>
      <c r="S31">
        <v>336</v>
      </c>
      <c r="T31">
        <v>358</v>
      </c>
      <c r="U31" t="s">
        <v>187</v>
      </c>
      <c r="V31" t="s">
        <v>188</v>
      </c>
      <c r="W31" t="s">
        <v>16</v>
      </c>
      <c r="X31" t="s">
        <v>189</v>
      </c>
      <c r="Y31">
        <v>35.840000000000003</v>
      </c>
      <c r="Z31">
        <v>-80.5</v>
      </c>
      <c r="AA31" t="s">
        <v>18</v>
      </c>
      <c r="AB31" s="5">
        <f t="shared" si="0"/>
        <v>1.5</v>
      </c>
    </row>
    <row r="32" spans="1:28" x14ac:dyDescent="0.3">
      <c r="A32">
        <v>162</v>
      </c>
      <c r="B32">
        <v>319026</v>
      </c>
      <c r="C32" t="s">
        <v>272</v>
      </c>
      <c r="D32" t="s">
        <v>378</v>
      </c>
      <c r="E32">
        <v>34.72</v>
      </c>
      <c r="F32">
        <v>-77.977800000000002</v>
      </c>
      <c r="G32">
        <v>8.8000000000000007</v>
      </c>
      <c r="H32" t="s">
        <v>14</v>
      </c>
      <c r="I32">
        <v>403</v>
      </c>
      <c r="J32">
        <v>355</v>
      </c>
      <c r="K32">
        <v>411</v>
      </c>
      <c r="L32">
        <v>349</v>
      </c>
      <c r="M32">
        <v>411</v>
      </c>
      <c r="N32">
        <v>555</v>
      </c>
      <c r="O32">
        <v>604</v>
      </c>
      <c r="P32">
        <v>655</v>
      </c>
      <c r="Q32">
        <v>637</v>
      </c>
      <c r="R32">
        <v>351</v>
      </c>
      <c r="S32">
        <v>340</v>
      </c>
      <c r="T32">
        <v>349</v>
      </c>
      <c r="U32" t="s">
        <v>19</v>
      </c>
      <c r="V32" t="s">
        <v>19</v>
      </c>
      <c r="W32" t="s">
        <v>19</v>
      </c>
      <c r="X32" t="s">
        <v>273</v>
      </c>
      <c r="Y32" t="s">
        <v>19</v>
      </c>
      <c r="Z32" t="s">
        <v>19</v>
      </c>
      <c r="AA32" t="s">
        <v>19</v>
      </c>
      <c r="AB32" s="5">
        <f t="shared" si="0"/>
        <v>3</v>
      </c>
    </row>
    <row r="33" spans="1:39" x14ac:dyDescent="0.3">
      <c r="A33">
        <v>169</v>
      </c>
      <c r="B33">
        <v>3758</v>
      </c>
      <c r="C33" t="s">
        <v>102</v>
      </c>
      <c r="D33" t="s">
        <v>100</v>
      </c>
      <c r="E33">
        <v>35.970500000000001</v>
      </c>
      <c r="F33">
        <v>-79.093100000000007</v>
      </c>
      <c r="G33">
        <v>171.3</v>
      </c>
      <c r="H33" t="s">
        <v>14</v>
      </c>
      <c r="I33">
        <v>364</v>
      </c>
      <c r="J33">
        <v>320</v>
      </c>
      <c r="K33">
        <v>426</v>
      </c>
      <c r="L33">
        <v>327</v>
      </c>
      <c r="M33">
        <v>356</v>
      </c>
      <c r="N33">
        <v>394</v>
      </c>
      <c r="O33">
        <v>475</v>
      </c>
      <c r="P33">
        <v>406</v>
      </c>
      <c r="Q33">
        <v>426</v>
      </c>
      <c r="R33">
        <v>347</v>
      </c>
      <c r="S33">
        <v>362</v>
      </c>
      <c r="T33">
        <v>336</v>
      </c>
      <c r="U33" t="s">
        <v>19</v>
      </c>
      <c r="V33" t="s">
        <v>19</v>
      </c>
      <c r="W33" t="s">
        <v>19</v>
      </c>
      <c r="X33" t="s">
        <v>101</v>
      </c>
      <c r="Y33" t="s">
        <v>19</v>
      </c>
      <c r="Z33" t="s">
        <v>19</v>
      </c>
      <c r="AA33" t="s">
        <v>19</v>
      </c>
      <c r="AB33" s="5">
        <f t="shared" si="0"/>
        <v>3</v>
      </c>
    </row>
    <row r="34" spans="1:39" x14ac:dyDescent="0.3">
      <c r="A34">
        <v>92</v>
      </c>
      <c r="B34">
        <v>317400</v>
      </c>
      <c r="C34" t="s">
        <v>225</v>
      </c>
      <c r="D34" t="s">
        <v>365</v>
      </c>
      <c r="E34">
        <v>35.893610000000002</v>
      </c>
      <c r="F34">
        <v>-77.68056</v>
      </c>
      <c r="G34">
        <v>33.5</v>
      </c>
      <c r="H34" t="s">
        <v>14</v>
      </c>
      <c r="I34">
        <v>354</v>
      </c>
      <c r="J34">
        <v>324</v>
      </c>
      <c r="K34">
        <v>408</v>
      </c>
      <c r="L34">
        <v>326</v>
      </c>
      <c r="M34">
        <v>356</v>
      </c>
      <c r="N34">
        <v>435</v>
      </c>
      <c r="O34">
        <v>507</v>
      </c>
      <c r="P34">
        <v>471</v>
      </c>
      <c r="Q34">
        <v>525</v>
      </c>
      <c r="R34">
        <v>316</v>
      </c>
      <c r="S34">
        <v>288</v>
      </c>
      <c r="T34">
        <v>311</v>
      </c>
      <c r="U34" t="s">
        <v>226</v>
      </c>
      <c r="V34" t="s">
        <v>223</v>
      </c>
      <c r="W34" t="s">
        <v>16</v>
      </c>
      <c r="X34" t="s">
        <v>227</v>
      </c>
      <c r="Y34">
        <v>35.89</v>
      </c>
      <c r="Z34">
        <v>-77.680000000000007</v>
      </c>
      <c r="AA34" t="s">
        <v>18</v>
      </c>
      <c r="AB34" s="5">
        <f t="shared" si="0"/>
        <v>3</v>
      </c>
    </row>
    <row r="35" spans="1:39" x14ac:dyDescent="0.3">
      <c r="A35">
        <v>135</v>
      </c>
      <c r="B35">
        <v>93807</v>
      </c>
      <c r="C35" t="s">
        <v>295</v>
      </c>
      <c r="D35" t="s">
        <v>347</v>
      </c>
      <c r="E35">
        <v>36.133609999999997</v>
      </c>
      <c r="F35">
        <v>-80.222219999999993</v>
      </c>
      <c r="G35">
        <v>295.7</v>
      </c>
      <c r="H35" t="s">
        <v>14</v>
      </c>
      <c r="I35">
        <v>361</v>
      </c>
      <c r="J35">
        <v>319</v>
      </c>
      <c r="K35">
        <v>404</v>
      </c>
      <c r="L35">
        <v>370</v>
      </c>
      <c r="M35">
        <v>387</v>
      </c>
      <c r="N35">
        <v>420</v>
      </c>
      <c r="O35">
        <v>500</v>
      </c>
      <c r="P35">
        <v>487</v>
      </c>
      <c r="Q35">
        <v>419</v>
      </c>
      <c r="R35">
        <v>341</v>
      </c>
      <c r="S35">
        <v>335</v>
      </c>
      <c r="T35">
        <v>347</v>
      </c>
      <c r="U35" t="s">
        <v>19</v>
      </c>
      <c r="V35" t="s">
        <v>19</v>
      </c>
      <c r="W35" t="s">
        <v>19</v>
      </c>
      <c r="X35" t="s">
        <v>156</v>
      </c>
      <c r="Y35" t="s">
        <v>19</v>
      </c>
      <c r="Z35" t="s">
        <v>19</v>
      </c>
      <c r="AA35" t="s">
        <v>19</v>
      </c>
      <c r="AB35" s="5">
        <f t="shared" si="0"/>
        <v>1.5</v>
      </c>
      <c r="AF35" t="s">
        <v>896</v>
      </c>
    </row>
    <row r="36" spans="1:39" x14ac:dyDescent="0.3">
      <c r="A36">
        <v>65</v>
      </c>
      <c r="B36">
        <v>315123</v>
      </c>
      <c r="C36" t="s">
        <v>176</v>
      </c>
      <c r="D36" t="s">
        <v>126</v>
      </c>
      <c r="E36">
        <v>36.102800000000002</v>
      </c>
      <c r="F36">
        <v>-78.303899999999999</v>
      </c>
      <c r="G36">
        <v>79.2</v>
      </c>
      <c r="H36" t="s">
        <v>14</v>
      </c>
      <c r="I36">
        <v>370</v>
      </c>
      <c r="J36">
        <v>325</v>
      </c>
      <c r="K36">
        <v>406</v>
      </c>
      <c r="L36">
        <v>334</v>
      </c>
      <c r="M36">
        <v>380</v>
      </c>
      <c r="N36">
        <v>402</v>
      </c>
      <c r="O36">
        <v>444</v>
      </c>
      <c r="P36">
        <v>506</v>
      </c>
      <c r="Q36">
        <v>418</v>
      </c>
      <c r="R36">
        <v>336</v>
      </c>
      <c r="S36">
        <v>317</v>
      </c>
      <c r="T36">
        <v>325</v>
      </c>
      <c r="U36" t="s">
        <v>177</v>
      </c>
      <c r="V36" t="s">
        <v>177</v>
      </c>
      <c r="W36" t="s">
        <v>16</v>
      </c>
      <c r="X36" t="s">
        <v>178</v>
      </c>
      <c r="Y36">
        <v>36.1</v>
      </c>
      <c r="Z36">
        <v>-78.3</v>
      </c>
      <c r="AA36" t="s">
        <v>18</v>
      </c>
      <c r="AB36" s="5">
        <f t="shared" si="0"/>
        <v>3</v>
      </c>
      <c r="AE36" t="s">
        <v>64</v>
      </c>
      <c r="AF36">
        <v>33</v>
      </c>
      <c r="AG36">
        <v>34</v>
      </c>
      <c r="AH36">
        <v>35</v>
      </c>
      <c r="AI36">
        <v>35.5</v>
      </c>
      <c r="AJ36">
        <v>36</v>
      </c>
      <c r="AK36">
        <v>37</v>
      </c>
      <c r="AL36" t="s">
        <v>64</v>
      </c>
      <c r="AM36" t="s">
        <v>64</v>
      </c>
    </row>
    <row r="37" spans="1:39" x14ac:dyDescent="0.3">
      <c r="A37">
        <v>137</v>
      </c>
      <c r="B37">
        <v>53870</v>
      </c>
      <c r="C37" t="s">
        <v>128</v>
      </c>
      <c r="D37" t="s">
        <v>337</v>
      </c>
      <c r="E37">
        <v>35.196669999999997</v>
      </c>
      <c r="F37">
        <v>-81.155829999999995</v>
      </c>
      <c r="G37">
        <v>242.9</v>
      </c>
      <c r="H37" t="s">
        <v>14</v>
      </c>
      <c r="I37">
        <v>386</v>
      </c>
      <c r="J37">
        <v>351</v>
      </c>
      <c r="K37">
        <v>419</v>
      </c>
      <c r="L37">
        <v>319</v>
      </c>
      <c r="M37">
        <v>317</v>
      </c>
      <c r="N37">
        <v>390</v>
      </c>
      <c r="O37">
        <v>398</v>
      </c>
      <c r="P37">
        <v>408</v>
      </c>
      <c r="Q37">
        <v>353</v>
      </c>
      <c r="R37">
        <v>365</v>
      </c>
      <c r="S37">
        <v>325</v>
      </c>
      <c r="T37">
        <v>330</v>
      </c>
      <c r="U37" t="s">
        <v>19</v>
      </c>
      <c r="V37" t="s">
        <v>19</v>
      </c>
      <c r="W37" t="s">
        <v>19</v>
      </c>
      <c r="X37" t="s">
        <v>127</v>
      </c>
      <c r="Y37" t="s">
        <v>19</v>
      </c>
      <c r="Z37" t="s">
        <v>19</v>
      </c>
      <c r="AA37" t="s">
        <v>19</v>
      </c>
      <c r="AB37" s="5">
        <f t="shared" ref="AB37:AB71" si="4">INDEX(latlongrunoff,MATCH(pptstalong,longrunoff,1),MATCH(pptstalat,latrunoff,1))</f>
        <v>1</v>
      </c>
      <c r="AE37">
        <v>-85</v>
      </c>
      <c r="AF37" t="s">
        <v>19</v>
      </c>
      <c r="AG37" t="s">
        <v>19</v>
      </c>
      <c r="AH37">
        <v>1</v>
      </c>
      <c r="AI37">
        <v>1</v>
      </c>
      <c r="AJ37">
        <v>1</v>
      </c>
      <c r="AK37">
        <v>1</v>
      </c>
    </row>
    <row r="38" spans="1:39" x14ac:dyDescent="0.3">
      <c r="D38" t="s">
        <v>711</v>
      </c>
      <c r="I38" s="11">
        <f>+I47</f>
        <v>379</v>
      </c>
      <c r="J38" s="11">
        <f t="shared" ref="J38:T38" si="5">+J47</f>
        <v>351</v>
      </c>
      <c r="K38" s="11">
        <f t="shared" si="5"/>
        <v>407</v>
      </c>
      <c r="L38" s="11">
        <f t="shared" si="5"/>
        <v>362</v>
      </c>
      <c r="M38" s="11">
        <f t="shared" si="5"/>
        <v>404</v>
      </c>
      <c r="N38" s="11">
        <f t="shared" si="5"/>
        <v>454</v>
      </c>
      <c r="O38" s="11">
        <f t="shared" si="5"/>
        <v>510</v>
      </c>
      <c r="P38" s="11">
        <f t="shared" si="5"/>
        <v>446</v>
      </c>
      <c r="Q38" s="11">
        <f t="shared" si="5"/>
        <v>465</v>
      </c>
      <c r="R38" s="11">
        <f t="shared" si="5"/>
        <v>345</v>
      </c>
      <c r="S38" s="11">
        <f t="shared" si="5"/>
        <v>307</v>
      </c>
      <c r="T38" s="11">
        <f t="shared" si="5"/>
        <v>360</v>
      </c>
    </row>
    <row r="39" spans="1:39" x14ac:dyDescent="0.3">
      <c r="A39">
        <v>171</v>
      </c>
      <c r="B39">
        <v>317346</v>
      </c>
      <c r="C39" t="s">
        <v>221</v>
      </c>
      <c r="D39" t="s">
        <v>131</v>
      </c>
      <c r="E39">
        <v>35.304400000000001</v>
      </c>
      <c r="F39">
        <v>-83.811300000000003</v>
      </c>
      <c r="G39">
        <v>678.2</v>
      </c>
      <c r="H39" t="s">
        <v>14</v>
      </c>
      <c r="I39">
        <v>557</v>
      </c>
      <c r="J39">
        <v>558</v>
      </c>
      <c r="K39">
        <v>557</v>
      </c>
      <c r="L39">
        <v>478</v>
      </c>
      <c r="M39">
        <v>487</v>
      </c>
      <c r="N39">
        <v>514</v>
      </c>
      <c r="O39">
        <v>511</v>
      </c>
      <c r="P39">
        <v>529</v>
      </c>
      <c r="Q39">
        <v>500</v>
      </c>
      <c r="R39">
        <v>390</v>
      </c>
      <c r="S39">
        <v>466</v>
      </c>
      <c r="T39">
        <v>586</v>
      </c>
      <c r="U39" t="s">
        <v>19</v>
      </c>
      <c r="V39" t="s">
        <v>19</v>
      </c>
      <c r="W39" t="s">
        <v>19</v>
      </c>
      <c r="X39" t="s">
        <v>222</v>
      </c>
      <c r="Y39" t="s">
        <v>19</v>
      </c>
      <c r="Z39" t="s">
        <v>19</v>
      </c>
      <c r="AA39" t="s">
        <v>19</v>
      </c>
      <c r="AB39" s="5">
        <f t="shared" si="4"/>
        <v>1</v>
      </c>
      <c r="AE39">
        <v>-84</v>
      </c>
      <c r="AF39">
        <v>1</v>
      </c>
      <c r="AG39">
        <v>1</v>
      </c>
      <c r="AH39">
        <v>1</v>
      </c>
      <c r="AI39">
        <v>1</v>
      </c>
      <c r="AJ39">
        <v>1</v>
      </c>
      <c r="AK39">
        <v>1</v>
      </c>
    </row>
    <row r="40" spans="1:39" x14ac:dyDescent="0.3">
      <c r="A40">
        <v>153</v>
      </c>
      <c r="B40">
        <v>316510</v>
      </c>
      <c r="C40" t="s">
        <v>208</v>
      </c>
      <c r="D40" t="s">
        <v>315</v>
      </c>
      <c r="E40">
        <v>36.302219999999998</v>
      </c>
      <c r="F40">
        <v>-78.610830000000007</v>
      </c>
      <c r="G40">
        <v>152.4</v>
      </c>
      <c r="H40" t="s">
        <v>14</v>
      </c>
      <c r="I40">
        <v>321</v>
      </c>
      <c r="J40">
        <v>283</v>
      </c>
      <c r="K40">
        <v>484</v>
      </c>
      <c r="L40">
        <v>308</v>
      </c>
      <c r="M40">
        <v>358</v>
      </c>
      <c r="N40">
        <v>405</v>
      </c>
      <c r="O40">
        <v>469</v>
      </c>
      <c r="P40">
        <v>540</v>
      </c>
      <c r="Q40">
        <v>389</v>
      </c>
      <c r="R40">
        <v>358</v>
      </c>
      <c r="S40">
        <v>305</v>
      </c>
      <c r="T40">
        <v>372</v>
      </c>
      <c r="U40" t="s">
        <v>19</v>
      </c>
      <c r="V40" t="s">
        <v>19</v>
      </c>
      <c r="W40" t="s">
        <v>19</v>
      </c>
      <c r="X40" t="s">
        <v>56</v>
      </c>
      <c r="Y40" t="s">
        <v>19</v>
      </c>
      <c r="Z40" t="s">
        <v>19</v>
      </c>
      <c r="AA40" t="s">
        <v>19</v>
      </c>
      <c r="AB40" s="5">
        <f t="shared" si="4"/>
        <v>3</v>
      </c>
      <c r="AE40">
        <v>-83</v>
      </c>
      <c r="AF40">
        <v>1</v>
      </c>
      <c r="AG40">
        <v>1</v>
      </c>
      <c r="AH40">
        <v>1</v>
      </c>
      <c r="AI40">
        <v>1</v>
      </c>
      <c r="AJ40">
        <v>1</v>
      </c>
      <c r="AK40">
        <v>1</v>
      </c>
    </row>
    <row r="41" spans="1:39" x14ac:dyDescent="0.3">
      <c r="D41" t="s">
        <v>715</v>
      </c>
      <c r="I41" s="11">
        <f>+I55</f>
        <v>374</v>
      </c>
      <c r="J41" s="11">
        <f t="shared" ref="J41:T41" si="6">+J55</f>
        <v>319</v>
      </c>
      <c r="K41" s="11">
        <f t="shared" si="6"/>
        <v>389</v>
      </c>
      <c r="L41" s="11">
        <f t="shared" si="6"/>
        <v>313</v>
      </c>
      <c r="M41" s="11">
        <f t="shared" si="6"/>
        <v>371</v>
      </c>
      <c r="N41" s="11">
        <f t="shared" si="6"/>
        <v>506</v>
      </c>
      <c r="O41" s="11">
        <f t="shared" si="6"/>
        <v>558</v>
      </c>
      <c r="P41" s="11">
        <f t="shared" si="6"/>
        <v>541</v>
      </c>
      <c r="Q41" s="11">
        <f t="shared" si="6"/>
        <v>571</v>
      </c>
      <c r="R41" s="11">
        <f t="shared" si="6"/>
        <v>306</v>
      </c>
      <c r="S41" s="11">
        <f t="shared" si="6"/>
        <v>308</v>
      </c>
      <c r="T41" s="11">
        <f t="shared" si="6"/>
        <v>308</v>
      </c>
    </row>
    <row r="42" spans="1:39" x14ac:dyDescent="0.3">
      <c r="A42">
        <v>154</v>
      </c>
      <c r="B42">
        <v>13723</v>
      </c>
      <c r="C42" t="s">
        <v>132</v>
      </c>
      <c r="D42" t="s">
        <v>339</v>
      </c>
      <c r="E42">
        <v>36.083329999999997</v>
      </c>
      <c r="F42">
        <v>-79.95</v>
      </c>
      <c r="G42">
        <v>271.3</v>
      </c>
      <c r="H42" t="s">
        <v>14</v>
      </c>
      <c r="I42">
        <v>306</v>
      </c>
      <c r="J42">
        <v>296</v>
      </c>
      <c r="K42">
        <v>373</v>
      </c>
      <c r="L42">
        <v>357</v>
      </c>
      <c r="M42">
        <v>338</v>
      </c>
      <c r="N42">
        <v>373</v>
      </c>
      <c r="O42">
        <v>448</v>
      </c>
      <c r="P42">
        <v>388</v>
      </c>
      <c r="Q42">
        <v>419</v>
      </c>
      <c r="R42">
        <v>316</v>
      </c>
      <c r="S42">
        <v>311</v>
      </c>
      <c r="T42">
        <v>298</v>
      </c>
      <c r="U42" t="s">
        <v>19</v>
      </c>
      <c r="V42" t="s">
        <v>19</v>
      </c>
      <c r="W42" t="s">
        <v>19</v>
      </c>
      <c r="X42" t="s">
        <v>133</v>
      </c>
      <c r="Y42" t="s">
        <v>19</v>
      </c>
      <c r="Z42" t="s">
        <v>19</v>
      </c>
      <c r="AA42" t="s">
        <v>19</v>
      </c>
      <c r="AB42" s="5">
        <f t="shared" si="4"/>
        <v>2</v>
      </c>
      <c r="AE42">
        <v>-82</v>
      </c>
      <c r="AF42">
        <v>1</v>
      </c>
      <c r="AG42">
        <v>1</v>
      </c>
      <c r="AH42">
        <v>1</v>
      </c>
      <c r="AI42">
        <v>1</v>
      </c>
      <c r="AJ42">
        <v>1</v>
      </c>
      <c r="AK42">
        <v>1</v>
      </c>
    </row>
    <row r="43" spans="1:39" x14ac:dyDescent="0.3">
      <c r="A43">
        <v>188</v>
      </c>
      <c r="B43">
        <v>317725</v>
      </c>
      <c r="C43" t="s">
        <v>241</v>
      </c>
      <c r="D43" t="s">
        <v>334</v>
      </c>
      <c r="E43">
        <v>36.136899999999997</v>
      </c>
      <c r="F43">
        <v>-77.423100000000005</v>
      </c>
      <c r="G43">
        <v>30.5</v>
      </c>
      <c r="H43" t="s">
        <v>14</v>
      </c>
      <c r="I43">
        <v>368</v>
      </c>
      <c r="J43">
        <v>317</v>
      </c>
      <c r="K43">
        <v>370</v>
      </c>
      <c r="L43">
        <v>367</v>
      </c>
      <c r="M43">
        <v>323</v>
      </c>
      <c r="N43">
        <v>481</v>
      </c>
      <c r="O43">
        <v>446</v>
      </c>
      <c r="P43">
        <v>467</v>
      </c>
      <c r="Q43">
        <v>460</v>
      </c>
      <c r="R43">
        <v>329</v>
      </c>
      <c r="S43">
        <v>287</v>
      </c>
      <c r="T43">
        <v>331</v>
      </c>
      <c r="U43" t="s">
        <v>19</v>
      </c>
      <c r="V43" t="s">
        <v>19</v>
      </c>
      <c r="W43" t="s">
        <v>19</v>
      </c>
      <c r="X43" t="s">
        <v>117</v>
      </c>
      <c r="Y43" t="s">
        <v>19</v>
      </c>
      <c r="Z43" t="s">
        <v>19</v>
      </c>
      <c r="AA43" t="s">
        <v>19</v>
      </c>
      <c r="AB43" s="5">
        <f t="shared" si="4"/>
        <v>3</v>
      </c>
      <c r="AE43">
        <v>-81</v>
      </c>
      <c r="AF43">
        <v>2</v>
      </c>
      <c r="AG43">
        <v>2</v>
      </c>
      <c r="AH43">
        <v>1.5</v>
      </c>
      <c r="AI43">
        <v>1.5</v>
      </c>
      <c r="AJ43">
        <v>1.5</v>
      </c>
      <c r="AK43">
        <v>1.5</v>
      </c>
    </row>
    <row r="44" spans="1:39" x14ac:dyDescent="0.3">
      <c r="A44">
        <v>28</v>
      </c>
      <c r="B44">
        <v>312500</v>
      </c>
      <c r="C44" t="s">
        <v>96</v>
      </c>
      <c r="D44" t="s">
        <v>328</v>
      </c>
      <c r="E44">
        <v>35.3247</v>
      </c>
      <c r="F44">
        <v>-78.688100000000006</v>
      </c>
      <c r="G44">
        <v>61</v>
      </c>
      <c r="H44" t="s">
        <v>14</v>
      </c>
      <c r="I44">
        <v>357</v>
      </c>
      <c r="J44">
        <v>347</v>
      </c>
      <c r="K44">
        <v>387</v>
      </c>
      <c r="L44">
        <v>326</v>
      </c>
      <c r="M44">
        <v>362</v>
      </c>
      <c r="N44">
        <v>447</v>
      </c>
      <c r="O44">
        <v>621</v>
      </c>
      <c r="P44">
        <v>552</v>
      </c>
      <c r="Q44">
        <v>432</v>
      </c>
      <c r="R44">
        <v>315</v>
      </c>
      <c r="S44">
        <v>306</v>
      </c>
      <c r="T44">
        <v>325</v>
      </c>
      <c r="U44" t="s">
        <v>97</v>
      </c>
      <c r="V44" t="s">
        <v>98</v>
      </c>
      <c r="W44" t="s">
        <v>16</v>
      </c>
      <c r="X44" t="s">
        <v>99</v>
      </c>
      <c r="Y44">
        <v>35.32</v>
      </c>
      <c r="Z44">
        <v>-78.69</v>
      </c>
      <c r="AA44" t="s">
        <v>18</v>
      </c>
      <c r="AB44" s="5">
        <f t="shared" si="4"/>
        <v>3</v>
      </c>
      <c r="AE44">
        <v>-80</v>
      </c>
      <c r="AF44">
        <v>3</v>
      </c>
      <c r="AG44">
        <v>3</v>
      </c>
      <c r="AH44">
        <v>2</v>
      </c>
      <c r="AI44">
        <v>2</v>
      </c>
      <c r="AJ44">
        <v>2</v>
      </c>
      <c r="AK44">
        <v>2</v>
      </c>
    </row>
    <row r="45" spans="1:39" x14ac:dyDescent="0.3">
      <c r="A45">
        <v>115</v>
      </c>
      <c r="B45">
        <v>319147</v>
      </c>
      <c r="C45" t="s">
        <v>275</v>
      </c>
      <c r="D45" t="s">
        <v>319</v>
      </c>
      <c r="E45">
        <v>35.486600000000003</v>
      </c>
      <c r="F45">
        <v>-82.968299999999999</v>
      </c>
      <c r="G45">
        <v>810.2</v>
      </c>
      <c r="H45" t="s">
        <v>14</v>
      </c>
      <c r="I45">
        <v>431</v>
      </c>
      <c r="J45">
        <v>448</v>
      </c>
      <c r="K45">
        <v>440</v>
      </c>
      <c r="L45">
        <v>376</v>
      </c>
      <c r="M45">
        <v>434</v>
      </c>
      <c r="N45">
        <v>407</v>
      </c>
      <c r="O45">
        <v>370</v>
      </c>
      <c r="P45">
        <v>420</v>
      </c>
      <c r="Q45">
        <v>394</v>
      </c>
      <c r="R45">
        <v>265</v>
      </c>
      <c r="S45">
        <v>378</v>
      </c>
      <c r="T45">
        <v>409</v>
      </c>
      <c r="U45" t="s">
        <v>276</v>
      </c>
      <c r="V45" t="s">
        <v>277</v>
      </c>
      <c r="W45" t="s">
        <v>16</v>
      </c>
      <c r="X45" t="s">
        <v>63</v>
      </c>
      <c r="Y45">
        <v>35.49</v>
      </c>
      <c r="Z45">
        <v>-82.97</v>
      </c>
      <c r="AA45" t="s">
        <v>18</v>
      </c>
      <c r="AB45" s="5">
        <f t="shared" si="4"/>
        <v>1</v>
      </c>
      <c r="AE45">
        <v>-79.5</v>
      </c>
      <c r="AF45">
        <v>3</v>
      </c>
      <c r="AG45">
        <v>3</v>
      </c>
      <c r="AH45">
        <v>3</v>
      </c>
      <c r="AI45">
        <v>3</v>
      </c>
      <c r="AJ45">
        <v>3</v>
      </c>
      <c r="AK45">
        <v>2</v>
      </c>
    </row>
    <row r="46" spans="1:39" x14ac:dyDescent="0.3">
      <c r="A46">
        <v>38</v>
      </c>
      <c r="B46">
        <v>313106</v>
      </c>
      <c r="C46" t="s">
        <v>120</v>
      </c>
      <c r="D46" t="s">
        <v>142</v>
      </c>
      <c r="E46">
        <v>35.426600000000001</v>
      </c>
      <c r="F46">
        <v>-82.557400000000001</v>
      </c>
      <c r="G46">
        <v>630.9</v>
      </c>
      <c r="H46" t="s">
        <v>14</v>
      </c>
      <c r="I46">
        <v>419</v>
      </c>
      <c r="J46">
        <v>409</v>
      </c>
      <c r="K46">
        <v>439</v>
      </c>
      <c r="L46">
        <v>364</v>
      </c>
      <c r="M46">
        <v>407</v>
      </c>
      <c r="N46">
        <v>508</v>
      </c>
      <c r="O46">
        <v>478</v>
      </c>
      <c r="P46">
        <v>500</v>
      </c>
      <c r="Q46">
        <v>433</v>
      </c>
      <c r="R46">
        <v>317</v>
      </c>
      <c r="S46">
        <v>383</v>
      </c>
      <c r="T46">
        <v>407</v>
      </c>
      <c r="U46" t="s">
        <v>121</v>
      </c>
      <c r="V46" t="s">
        <v>122</v>
      </c>
      <c r="W46" t="s">
        <v>16</v>
      </c>
      <c r="X46" t="s">
        <v>123</v>
      </c>
      <c r="Y46">
        <v>35.43</v>
      </c>
      <c r="Z46">
        <v>-82.56</v>
      </c>
      <c r="AA46" t="s">
        <v>18</v>
      </c>
      <c r="AB46" s="5">
        <f t="shared" si="4"/>
        <v>1</v>
      </c>
      <c r="AE46">
        <v>-79</v>
      </c>
      <c r="AF46">
        <v>3</v>
      </c>
      <c r="AG46">
        <v>3</v>
      </c>
      <c r="AH46">
        <v>3</v>
      </c>
      <c r="AI46">
        <v>3</v>
      </c>
      <c r="AJ46">
        <v>3</v>
      </c>
      <c r="AK46">
        <v>3</v>
      </c>
    </row>
    <row r="47" spans="1:39" x14ac:dyDescent="0.3">
      <c r="A47">
        <v>76</v>
      </c>
      <c r="B47">
        <v>315996</v>
      </c>
      <c r="C47" t="s">
        <v>192</v>
      </c>
      <c r="D47" t="s">
        <v>357</v>
      </c>
      <c r="E47">
        <v>36.452100000000002</v>
      </c>
      <c r="F47">
        <v>-77.080299999999994</v>
      </c>
      <c r="G47">
        <v>30.5</v>
      </c>
      <c r="H47" t="s">
        <v>14</v>
      </c>
      <c r="I47">
        <v>379</v>
      </c>
      <c r="J47">
        <v>351</v>
      </c>
      <c r="K47">
        <v>407</v>
      </c>
      <c r="L47">
        <v>362</v>
      </c>
      <c r="M47">
        <v>404</v>
      </c>
      <c r="N47">
        <v>454</v>
      </c>
      <c r="O47">
        <v>510</v>
      </c>
      <c r="P47">
        <v>446</v>
      </c>
      <c r="Q47">
        <v>465</v>
      </c>
      <c r="R47">
        <v>345</v>
      </c>
      <c r="S47">
        <v>307</v>
      </c>
      <c r="T47">
        <v>360</v>
      </c>
      <c r="U47" t="s">
        <v>193</v>
      </c>
      <c r="V47" t="s">
        <v>193</v>
      </c>
      <c r="W47" t="s">
        <v>16</v>
      </c>
      <c r="X47" t="s">
        <v>194</v>
      </c>
      <c r="Y47">
        <v>36.450000000000003</v>
      </c>
      <c r="Z47">
        <v>-77.08</v>
      </c>
      <c r="AA47" t="s">
        <v>18</v>
      </c>
      <c r="AB47" s="5">
        <f t="shared" si="4"/>
        <v>3</v>
      </c>
      <c r="AE47">
        <v>-78</v>
      </c>
      <c r="AF47">
        <v>3</v>
      </c>
      <c r="AG47">
        <v>3</v>
      </c>
      <c r="AH47">
        <v>3</v>
      </c>
      <c r="AI47">
        <v>3</v>
      </c>
      <c r="AJ47">
        <v>3</v>
      </c>
      <c r="AK47">
        <v>4</v>
      </c>
    </row>
    <row r="48" spans="1:39" x14ac:dyDescent="0.3">
      <c r="A48">
        <v>132</v>
      </c>
      <c r="B48">
        <v>317056</v>
      </c>
      <c r="C48" t="s">
        <v>213</v>
      </c>
      <c r="D48" t="s">
        <v>363</v>
      </c>
      <c r="E48">
        <v>34.987000000000002</v>
      </c>
      <c r="F48">
        <v>-79.218999999999994</v>
      </c>
      <c r="G48">
        <v>76.2</v>
      </c>
      <c r="H48" t="s">
        <v>14</v>
      </c>
      <c r="I48">
        <v>386</v>
      </c>
      <c r="J48">
        <v>348</v>
      </c>
      <c r="K48">
        <v>442</v>
      </c>
      <c r="L48">
        <v>287</v>
      </c>
      <c r="M48">
        <v>312</v>
      </c>
      <c r="N48">
        <v>459</v>
      </c>
      <c r="O48">
        <v>542</v>
      </c>
      <c r="P48">
        <v>506</v>
      </c>
      <c r="Q48">
        <v>431</v>
      </c>
      <c r="R48">
        <v>331</v>
      </c>
      <c r="S48">
        <v>305</v>
      </c>
      <c r="T48">
        <v>305</v>
      </c>
      <c r="U48" t="s">
        <v>19</v>
      </c>
      <c r="V48" t="s">
        <v>19</v>
      </c>
      <c r="W48" t="s">
        <v>19</v>
      </c>
      <c r="X48" t="s">
        <v>214</v>
      </c>
      <c r="Y48" t="s">
        <v>19</v>
      </c>
      <c r="Z48" t="s">
        <v>19</v>
      </c>
      <c r="AA48" t="s">
        <v>19</v>
      </c>
      <c r="AB48" s="5">
        <f t="shared" si="4"/>
        <v>3</v>
      </c>
      <c r="AE48">
        <v>-77</v>
      </c>
      <c r="AF48">
        <v>3</v>
      </c>
      <c r="AG48">
        <v>3</v>
      </c>
      <c r="AH48">
        <v>3</v>
      </c>
      <c r="AI48">
        <v>3</v>
      </c>
      <c r="AJ48">
        <v>3</v>
      </c>
      <c r="AK48">
        <v>4</v>
      </c>
    </row>
    <row r="49" spans="1:37" x14ac:dyDescent="0.3">
      <c r="A49">
        <v>124</v>
      </c>
      <c r="B49">
        <v>318450</v>
      </c>
      <c r="C49" t="s">
        <v>256</v>
      </c>
      <c r="D49" t="s">
        <v>362</v>
      </c>
      <c r="E49">
        <v>35.395000000000003</v>
      </c>
      <c r="F49">
        <v>-76.325999999999993</v>
      </c>
      <c r="G49">
        <v>0.9</v>
      </c>
      <c r="H49" t="s">
        <v>14</v>
      </c>
      <c r="I49">
        <v>398</v>
      </c>
      <c r="J49">
        <v>332</v>
      </c>
      <c r="K49">
        <v>423</v>
      </c>
      <c r="L49">
        <v>343</v>
      </c>
      <c r="M49">
        <v>399</v>
      </c>
      <c r="N49">
        <v>513</v>
      </c>
      <c r="O49">
        <v>555</v>
      </c>
      <c r="P49">
        <v>760</v>
      </c>
      <c r="Q49">
        <v>590</v>
      </c>
      <c r="R49">
        <v>341</v>
      </c>
      <c r="S49">
        <v>402</v>
      </c>
      <c r="T49">
        <v>370</v>
      </c>
      <c r="U49" t="s">
        <v>19</v>
      </c>
      <c r="V49" t="s">
        <v>19</v>
      </c>
      <c r="W49" t="s">
        <v>19</v>
      </c>
      <c r="X49" t="s">
        <v>207</v>
      </c>
      <c r="Y49" t="s">
        <v>19</v>
      </c>
      <c r="Z49" t="s">
        <v>19</v>
      </c>
      <c r="AA49" t="s">
        <v>19</v>
      </c>
      <c r="AB49" s="5">
        <f t="shared" si="4"/>
        <v>3</v>
      </c>
      <c r="AE49">
        <v>-76</v>
      </c>
      <c r="AF49">
        <v>3</v>
      </c>
      <c r="AG49">
        <v>3</v>
      </c>
      <c r="AH49">
        <v>3</v>
      </c>
      <c r="AI49">
        <v>3</v>
      </c>
      <c r="AJ49">
        <v>3</v>
      </c>
      <c r="AK49">
        <v>4</v>
      </c>
    </row>
    <row r="50" spans="1:37" x14ac:dyDescent="0.3">
      <c r="A50">
        <v>103</v>
      </c>
      <c r="B50">
        <v>318292</v>
      </c>
      <c r="C50" t="s">
        <v>251</v>
      </c>
      <c r="D50" t="s">
        <v>371</v>
      </c>
      <c r="E50">
        <v>35.809899999999999</v>
      </c>
      <c r="F50">
        <v>-80.880799999999994</v>
      </c>
      <c r="G50">
        <v>289.60000000000002</v>
      </c>
      <c r="H50" t="s">
        <v>14</v>
      </c>
      <c r="I50">
        <v>342</v>
      </c>
      <c r="J50">
        <v>336</v>
      </c>
      <c r="K50">
        <v>417</v>
      </c>
      <c r="L50">
        <v>357</v>
      </c>
      <c r="M50">
        <v>339</v>
      </c>
      <c r="N50">
        <v>423</v>
      </c>
      <c r="O50">
        <v>415</v>
      </c>
      <c r="P50">
        <v>382</v>
      </c>
      <c r="Q50">
        <v>365</v>
      </c>
      <c r="R50">
        <v>339</v>
      </c>
      <c r="S50">
        <v>328</v>
      </c>
      <c r="T50">
        <v>364</v>
      </c>
      <c r="U50" t="s">
        <v>252</v>
      </c>
      <c r="V50" t="s">
        <v>253</v>
      </c>
      <c r="W50" t="s">
        <v>16</v>
      </c>
      <c r="X50" t="s">
        <v>254</v>
      </c>
      <c r="Y50">
        <v>35.81</v>
      </c>
      <c r="Z50">
        <v>-80.88</v>
      </c>
      <c r="AA50" t="s">
        <v>18</v>
      </c>
      <c r="AB50" s="5">
        <f t="shared" si="4"/>
        <v>1.5</v>
      </c>
    </row>
    <row r="51" spans="1:37" x14ac:dyDescent="0.3">
      <c r="A51">
        <v>26</v>
      </c>
      <c r="B51">
        <v>312200</v>
      </c>
      <c r="C51" t="s">
        <v>90</v>
      </c>
      <c r="D51" t="s">
        <v>149</v>
      </c>
      <c r="E51">
        <v>35.311599999999999</v>
      </c>
      <c r="F51">
        <v>-83.174700000000001</v>
      </c>
      <c r="G51">
        <v>668.1</v>
      </c>
      <c r="H51" t="s">
        <v>14</v>
      </c>
      <c r="I51">
        <v>465</v>
      </c>
      <c r="J51">
        <v>463</v>
      </c>
      <c r="K51">
        <v>445</v>
      </c>
      <c r="L51">
        <v>390</v>
      </c>
      <c r="M51">
        <v>448</v>
      </c>
      <c r="N51">
        <v>485</v>
      </c>
      <c r="O51">
        <v>441</v>
      </c>
      <c r="P51">
        <v>407</v>
      </c>
      <c r="Q51">
        <v>422</v>
      </c>
      <c r="R51">
        <v>301</v>
      </c>
      <c r="S51">
        <v>423</v>
      </c>
      <c r="T51">
        <v>442</v>
      </c>
      <c r="U51" t="s">
        <v>91</v>
      </c>
      <c r="V51" t="s">
        <v>91</v>
      </c>
      <c r="W51" t="s">
        <v>16</v>
      </c>
      <c r="X51" t="s">
        <v>92</v>
      </c>
      <c r="Y51">
        <v>35.31</v>
      </c>
      <c r="Z51">
        <v>-83.17</v>
      </c>
      <c r="AA51" t="s">
        <v>18</v>
      </c>
      <c r="AB51" s="5">
        <f t="shared" si="4"/>
        <v>1</v>
      </c>
    </row>
    <row r="52" spans="1:37" x14ac:dyDescent="0.3">
      <c r="A52">
        <v>21</v>
      </c>
      <c r="B52">
        <v>311820</v>
      </c>
      <c r="C52" t="s">
        <v>75</v>
      </c>
      <c r="D52" t="s">
        <v>323</v>
      </c>
      <c r="E52">
        <v>35.640799999999999</v>
      </c>
      <c r="F52">
        <v>-78.463300000000004</v>
      </c>
      <c r="G52">
        <v>91.4</v>
      </c>
      <c r="H52" t="s">
        <v>14</v>
      </c>
      <c r="I52">
        <v>382</v>
      </c>
      <c r="J52">
        <v>340</v>
      </c>
      <c r="K52">
        <v>416</v>
      </c>
      <c r="L52">
        <v>305</v>
      </c>
      <c r="M52">
        <v>337</v>
      </c>
      <c r="N52">
        <v>391</v>
      </c>
      <c r="O52">
        <v>521</v>
      </c>
      <c r="P52">
        <v>532</v>
      </c>
      <c r="Q52">
        <v>449</v>
      </c>
      <c r="R52">
        <v>317</v>
      </c>
      <c r="S52">
        <v>319</v>
      </c>
      <c r="T52">
        <v>333</v>
      </c>
      <c r="U52" t="s">
        <v>76</v>
      </c>
      <c r="V52" t="s">
        <v>77</v>
      </c>
      <c r="W52" t="s">
        <v>16</v>
      </c>
      <c r="X52" t="s">
        <v>78</v>
      </c>
      <c r="Y52">
        <v>35.64</v>
      </c>
      <c r="Z52">
        <v>-78.459999999999994</v>
      </c>
      <c r="AA52" t="s">
        <v>18</v>
      </c>
      <c r="AB52" s="5">
        <f t="shared" si="4"/>
        <v>3</v>
      </c>
    </row>
    <row r="53" spans="1:37" x14ac:dyDescent="0.3">
      <c r="A53">
        <v>107</v>
      </c>
      <c r="B53">
        <v>318706</v>
      </c>
      <c r="C53" t="s">
        <v>263</v>
      </c>
      <c r="D53" t="s">
        <v>375</v>
      </c>
      <c r="E53">
        <v>35.062779999999997</v>
      </c>
      <c r="F53">
        <v>-77.35472</v>
      </c>
      <c r="G53">
        <v>9.1</v>
      </c>
      <c r="H53" t="s">
        <v>14</v>
      </c>
      <c r="I53">
        <v>404</v>
      </c>
      <c r="J53">
        <v>348</v>
      </c>
      <c r="K53">
        <v>415</v>
      </c>
      <c r="L53">
        <v>319</v>
      </c>
      <c r="M53">
        <v>393</v>
      </c>
      <c r="N53">
        <v>498</v>
      </c>
      <c r="O53">
        <v>615</v>
      </c>
      <c r="P53">
        <v>638</v>
      </c>
      <c r="Q53">
        <v>620</v>
      </c>
      <c r="R53">
        <v>366</v>
      </c>
      <c r="S53">
        <v>304</v>
      </c>
      <c r="T53">
        <v>345</v>
      </c>
      <c r="U53" t="s">
        <v>264</v>
      </c>
      <c r="V53" t="s">
        <v>264</v>
      </c>
      <c r="W53" t="s">
        <v>16</v>
      </c>
      <c r="X53" t="s">
        <v>265</v>
      </c>
      <c r="Y53">
        <v>35.06</v>
      </c>
      <c r="Z53">
        <v>-77.349999999999994</v>
      </c>
      <c r="AA53" t="s">
        <v>18</v>
      </c>
      <c r="AB53" s="5">
        <f t="shared" si="4"/>
        <v>3</v>
      </c>
    </row>
    <row r="54" spans="1:37" x14ac:dyDescent="0.3">
      <c r="A54">
        <v>97</v>
      </c>
      <c r="B54">
        <v>317656</v>
      </c>
      <c r="C54" t="s">
        <v>237</v>
      </c>
      <c r="D54" t="s">
        <v>368</v>
      </c>
      <c r="E54">
        <v>35.534700000000001</v>
      </c>
      <c r="F54">
        <v>-79.046400000000006</v>
      </c>
      <c r="G54">
        <v>79.900000000000006</v>
      </c>
      <c r="H54" t="s">
        <v>14</v>
      </c>
      <c r="I54">
        <v>387</v>
      </c>
      <c r="J54">
        <v>351</v>
      </c>
      <c r="K54">
        <v>399</v>
      </c>
      <c r="L54">
        <v>286</v>
      </c>
      <c r="M54">
        <v>352</v>
      </c>
      <c r="N54">
        <v>463</v>
      </c>
      <c r="O54">
        <v>514</v>
      </c>
      <c r="P54">
        <v>472</v>
      </c>
      <c r="Q54">
        <v>412</v>
      </c>
      <c r="R54">
        <v>358</v>
      </c>
      <c r="S54">
        <v>330</v>
      </c>
      <c r="T54">
        <v>297</v>
      </c>
      <c r="U54" t="s">
        <v>238</v>
      </c>
      <c r="V54" t="s">
        <v>239</v>
      </c>
      <c r="W54" t="s">
        <v>16</v>
      </c>
      <c r="X54" t="s">
        <v>240</v>
      </c>
      <c r="Y54">
        <v>35.53</v>
      </c>
      <c r="Z54">
        <v>-79.05</v>
      </c>
      <c r="AA54" t="s">
        <v>18</v>
      </c>
      <c r="AB54" s="5">
        <f t="shared" si="4"/>
        <v>3</v>
      </c>
    </row>
    <row r="55" spans="1:37" x14ac:dyDescent="0.3">
      <c r="A55">
        <v>56</v>
      </c>
      <c r="B55">
        <v>314689</v>
      </c>
      <c r="C55" t="s">
        <v>159</v>
      </c>
      <c r="D55" t="s">
        <v>164</v>
      </c>
      <c r="E55">
        <v>35.297499999999999</v>
      </c>
      <c r="F55">
        <v>-77.572199999999995</v>
      </c>
      <c r="G55">
        <v>18.3</v>
      </c>
      <c r="H55" t="s">
        <v>14</v>
      </c>
      <c r="I55">
        <v>374</v>
      </c>
      <c r="J55">
        <v>319</v>
      </c>
      <c r="K55">
        <v>389</v>
      </c>
      <c r="L55">
        <v>313</v>
      </c>
      <c r="M55">
        <v>371</v>
      </c>
      <c r="N55">
        <v>506</v>
      </c>
      <c r="O55">
        <v>558</v>
      </c>
      <c r="P55">
        <v>541</v>
      </c>
      <c r="Q55">
        <v>571</v>
      </c>
      <c r="R55">
        <v>306</v>
      </c>
      <c r="S55">
        <v>308</v>
      </c>
      <c r="T55">
        <v>308</v>
      </c>
      <c r="U55" t="s">
        <v>160</v>
      </c>
      <c r="V55" t="s">
        <v>157</v>
      </c>
      <c r="W55" t="s">
        <v>16</v>
      </c>
      <c r="X55" t="s">
        <v>158</v>
      </c>
      <c r="Y55">
        <v>35.299999999999997</v>
      </c>
      <c r="Z55">
        <v>-77.569999999999993</v>
      </c>
      <c r="AA55" t="s">
        <v>18</v>
      </c>
      <c r="AB55" s="5">
        <f t="shared" si="4"/>
        <v>3</v>
      </c>
    </row>
    <row r="56" spans="1:37" x14ac:dyDescent="0.3">
      <c r="A56">
        <v>63</v>
      </c>
      <c r="B56">
        <v>314996</v>
      </c>
      <c r="C56" t="s">
        <v>172</v>
      </c>
      <c r="D56" t="s">
        <v>352</v>
      </c>
      <c r="E56">
        <v>35.460560000000001</v>
      </c>
      <c r="F56">
        <v>-81.328890000000001</v>
      </c>
      <c r="G56">
        <v>274.3</v>
      </c>
      <c r="H56" t="s">
        <v>14</v>
      </c>
      <c r="I56">
        <v>385</v>
      </c>
      <c r="J56">
        <v>365</v>
      </c>
      <c r="K56">
        <v>450</v>
      </c>
      <c r="L56">
        <v>348</v>
      </c>
      <c r="M56">
        <v>401</v>
      </c>
      <c r="N56">
        <v>404</v>
      </c>
      <c r="O56">
        <v>406</v>
      </c>
      <c r="P56">
        <v>450</v>
      </c>
      <c r="Q56">
        <v>345</v>
      </c>
      <c r="R56">
        <v>414</v>
      </c>
      <c r="S56">
        <v>355</v>
      </c>
      <c r="T56">
        <v>387</v>
      </c>
      <c r="U56" t="s">
        <v>173</v>
      </c>
      <c r="V56" t="s">
        <v>174</v>
      </c>
      <c r="W56" t="s">
        <v>16</v>
      </c>
      <c r="X56" t="s">
        <v>175</v>
      </c>
      <c r="Y56">
        <v>35.46</v>
      </c>
      <c r="Z56">
        <v>-81.33</v>
      </c>
      <c r="AA56" t="s">
        <v>18</v>
      </c>
      <c r="AB56" s="5">
        <f t="shared" si="4"/>
        <v>1</v>
      </c>
    </row>
    <row r="57" spans="1:37" x14ac:dyDescent="0.3">
      <c r="A57">
        <v>25</v>
      </c>
      <c r="B57">
        <v>312102</v>
      </c>
      <c r="C57" t="s">
        <v>86</v>
      </c>
      <c r="D57" t="s">
        <v>326</v>
      </c>
      <c r="E57">
        <v>35.059100000000001</v>
      </c>
      <c r="F57">
        <v>-83.431299999999993</v>
      </c>
      <c r="G57">
        <v>685.5</v>
      </c>
      <c r="H57" t="s">
        <v>14</v>
      </c>
      <c r="I57">
        <v>663</v>
      </c>
      <c r="J57">
        <v>671</v>
      </c>
      <c r="K57">
        <v>642</v>
      </c>
      <c r="L57">
        <v>524</v>
      </c>
      <c r="M57">
        <v>527</v>
      </c>
      <c r="N57">
        <v>582</v>
      </c>
      <c r="O57">
        <v>486</v>
      </c>
      <c r="P57">
        <v>480</v>
      </c>
      <c r="Q57">
        <v>590</v>
      </c>
      <c r="R57">
        <v>454</v>
      </c>
      <c r="S57">
        <v>645</v>
      </c>
      <c r="T57">
        <v>635</v>
      </c>
      <c r="U57" t="s">
        <v>87</v>
      </c>
      <c r="V57" t="s">
        <v>88</v>
      </c>
      <c r="W57" t="s">
        <v>16</v>
      </c>
      <c r="X57" t="s">
        <v>89</v>
      </c>
      <c r="Y57">
        <v>35.06</v>
      </c>
      <c r="Z57">
        <v>-83.43</v>
      </c>
      <c r="AA57" t="s">
        <v>18</v>
      </c>
      <c r="AB57" s="5">
        <f t="shared" si="4"/>
        <v>1</v>
      </c>
    </row>
    <row r="58" spans="1:37" x14ac:dyDescent="0.3">
      <c r="A58">
        <v>51</v>
      </c>
      <c r="B58">
        <v>314260</v>
      </c>
      <c r="C58" t="s">
        <v>145</v>
      </c>
      <c r="D58" t="s">
        <v>344</v>
      </c>
      <c r="E58">
        <v>35.895000000000003</v>
      </c>
      <c r="F58">
        <v>-82.831109999999995</v>
      </c>
      <c r="G58">
        <v>425.5</v>
      </c>
      <c r="H58" t="s">
        <v>14</v>
      </c>
      <c r="I58">
        <v>348</v>
      </c>
      <c r="J58">
        <v>351</v>
      </c>
      <c r="K58">
        <v>367</v>
      </c>
      <c r="L58">
        <v>352</v>
      </c>
      <c r="M58">
        <v>479</v>
      </c>
      <c r="N58">
        <v>420</v>
      </c>
      <c r="O58">
        <v>455</v>
      </c>
      <c r="P58">
        <v>411</v>
      </c>
      <c r="Q58">
        <v>307</v>
      </c>
      <c r="R58">
        <v>215</v>
      </c>
      <c r="S58">
        <v>279</v>
      </c>
      <c r="T58">
        <v>314</v>
      </c>
      <c r="U58" t="s">
        <v>146</v>
      </c>
      <c r="V58" t="s">
        <v>146</v>
      </c>
      <c r="W58" t="s">
        <v>16</v>
      </c>
      <c r="X58" t="s">
        <v>147</v>
      </c>
      <c r="Y58">
        <v>35.9</v>
      </c>
      <c r="Z58">
        <v>-82.83</v>
      </c>
      <c r="AA58" t="s">
        <v>18</v>
      </c>
      <c r="AB58" s="5">
        <f t="shared" si="4"/>
        <v>1</v>
      </c>
    </row>
    <row r="59" spans="1:37" x14ac:dyDescent="0.3">
      <c r="A59">
        <v>118</v>
      </c>
      <c r="B59">
        <v>319440</v>
      </c>
      <c r="C59" t="s">
        <v>285</v>
      </c>
      <c r="D59" t="s">
        <v>380</v>
      </c>
      <c r="E59">
        <v>35.852899999999998</v>
      </c>
      <c r="F59">
        <v>-77.030600000000007</v>
      </c>
      <c r="G59">
        <v>6.1</v>
      </c>
      <c r="H59" t="s">
        <v>14</v>
      </c>
      <c r="I59">
        <v>382</v>
      </c>
      <c r="J59">
        <v>315</v>
      </c>
      <c r="K59">
        <v>412</v>
      </c>
      <c r="L59">
        <v>317</v>
      </c>
      <c r="M59">
        <v>374</v>
      </c>
      <c r="N59">
        <v>471</v>
      </c>
      <c r="O59">
        <v>529</v>
      </c>
      <c r="P59">
        <v>554</v>
      </c>
      <c r="Q59">
        <v>607</v>
      </c>
      <c r="R59">
        <v>390</v>
      </c>
      <c r="S59">
        <v>308</v>
      </c>
      <c r="T59">
        <v>324</v>
      </c>
      <c r="U59" t="s">
        <v>286</v>
      </c>
      <c r="V59" t="s">
        <v>287</v>
      </c>
      <c r="W59" t="s">
        <v>16</v>
      </c>
      <c r="X59" t="s">
        <v>288</v>
      </c>
      <c r="Y59">
        <v>35.85</v>
      </c>
      <c r="Z59">
        <v>-77.03</v>
      </c>
      <c r="AA59" t="s">
        <v>18</v>
      </c>
      <c r="AB59" s="5">
        <f t="shared" si="4"/>
        <v>3</v>
      </c>
    </row>
    <row r="60" spans="1:37" x14ac:dyDescent="0.3">
      <c r="A60">
        <v>67</v>
      </c>
      <c r="B60">
        <v>315340</v>
      </c>
      <c r="C60" t="s">
        <v>182</v>
      </c>
      <c r="D60" t="s">
        <v>354</v>
      </c>
      <c r="E60">
        <v>35.662999999999997</v>
      </c>
      <c r="F60">
        <v>-82.0291</v>
      </c>
      <c r="G60">
        <v>446.8</v>
      </c>
      <c r="H60" t="s">
        <v>14</v>
      </c>
      <c r="I60">
        <v>406</v>
      </c>
      <c r="J60">
        <v>416</v>
      </c>
      <c r="K60">
        <v>463</v>
      </c>
      <c r="L60">
        <v>424</v>
      </c>
      <c r="M60">
        <v>470</v>
      </c>
      <c r="N60">
        <v>486</v>
      </c>
      <c r="O60">
        <v>484</v>
      </c>
      <c r="P60">
        <v>445</v>
      </c>
      <c r="Q60">
        <v>445</v>
      </c>
      <c r="R60">
        <v>350</v>
      </c>
      <c r="S60">
        <v>395</v>
      </c>
      <c r="T60">
        <v>441</v>
      </c>
      <c r="U60" t="s">
        <v>183</v>
      </c>
      <c r="V60" t="s">
        <v>184</v>
      </c>
      <c r="W60" t="s">
        <v>16</v>
      </c>
      <c r="X60" t="s">
        <v>185</v>
      </c>
      <c r="Y60">
        <v>35.659999999999997</v>
      </c>
      <c r="Z60">
        <v>-82.03</v>
      </c>
      <c r="AA60" t="s">
        <v>18</v>
      </c>
      <c r="AB60" s="5">
        <f t="shared" si="4"/>
        <v>1</v>
      </c>
    </row>
    <row r="61" spans="1:37" x14ac:dyDescent="0.3">
      <c r="A61">
        <v>144</v>
      </c>
      <c r="B61">
        <v>13881</v>
      </c>
      <c r="C61" t="s">
        <v>73</v>
      </c>
      <c r="D61" t="s">
        <v>322</v>
      </c>
      <c r="E61">
        <v>35.223599999999998</v>
      </c>
      <c r="F61">
        <v>-80.955200000000005</v>
      </c>
      <c r="G61">
        <v>221.9</v>
      </c>
      <c r="H61" t="s">
        <v>14</v>
      </c>
      <c r="I61">
        <v>341</v>
      </c>
      <c r="J61">
        <v>332</v>
      </c>
      <c r="K61">
        <v>401</v>
      </c>
      <c r="L61">
        <v>304</v>
      </c>
      <c r="M61">
        <v>318</v>
      </c>
      <c r="N61">
        <v>374</v>
      </c>
      <c r="O61">
        <v>368</v>
      </c>
      <c r="P61">
        <v>422</v>
      </c>
      <c r="Q61">
        <v>324</v>
      </c>
      <c r="R61">
        <v>340</v>
      </c>
      <c r="S61">
        <v>314</v>
      </c>
      <c r="T61">
        <v>325</v>
      </c>
      <c r="U61" t="s">
        <v>19</v>
      </c>
      <c r="V61" t="s">
        <v>19</v>
      </c>
      <c r="W61" t="s">
        <v>19</v>
      </c>
      <c r="X61" t="s">
        <v>74</v>
      </c>
      <c r="Y61" t="s">
        <v>19</v>
      </c>
      <c r="Z61" t="s">
        <v>19</v>
      </c>
      <c r="AA61" t="s">
        <v>19</v>
      </c>
      <c r="AB61" s="5">
        <f t="shared" si="4"/>
        <v>1.5</v>
      </c>
    </row>
    <row r="62" spans="1:37" x14ac:dyDescent="0.3">
      <c r="D62" t="s">
        <v>707</v>
      </c>
      <c r="I62" s="11">
        <f>+I101</f>
        <v>511</v>
      </c>
      <c r="J62" s="11">
        <f t="shared" ref="J62:T62" si="7">+J101</f>
        <v>502</v>
      </c>
      <c r="K62" s="11">
        <f t="shared" si="7"/>
        <v>552</v>
      </c>
      <c r="L62" s="11">
        <f t="shared" si="7"/>
        <v>450</v>
      </c>
      <c r="M62" s="11">
        <f t="shared" si="7"/>
        <v>497</v>
      </c>
      <c r="N62" s="11">
        <f t="shared" si="7"/>
        <v>471</v>
      </c>
      <c r="O62" s="11">
        <f t="shared" si="7"/>
        <v>467</v>
      </c>
      <c r="P62" s="11">
        <f t="shared" si="7"/>
        <v>532</v>
      </c>
      <c r="Q62" s="11">
        <f t="shared" si="7"/>
        <v>499</v>
      </c>
      <c r="R62" s="11">
        <f t="shared" si="7"/>
        <v>382</v>
      </c>
      <c r="S62" s="11">
        <f t="shared" si="7"/>
        <v>467</v>
      </c>
      <c r="T62" s="11">
        <f t="shared" si="7"/>
        <v>456</v>
      </c>
    </row>
    <row r="63" spans="1:37" x14ac:dyDescent="0.3">
      <c r="A63">
        <v>53</v>
      </c>
      <c r="B63">
        <v>314464</v>
      </c>
      <c r="C63" t="s">
        <v>151</v>
      </c>
      <c r="D63" t="s">
        <v>346</v>
      </c>
      <c r="E63">
        <v>35.1858</v>
      </c>
      <c r="F63">
        <v>-79.677199999999999</v>
      </c>
      <c r="G63">
        <v>222.5</v>
      </c>
      <c r="H63" t="s">
        <v>14</v>
      </c>
      <c r="I63">
        <v>388</v>
      </c>
      <c r="J63">
        <v>354</v>
      </c>
      <c r="K63">
        <v>404</v>
      </c>
      <c r="L63">
        <v>305</v>
      </c>
      <c r="M63">
        <v>309</v>
      </c>
      <c r="N63">
        <v>405</v>
      </c>
      <c r="O63">
        <v>503</v>
      </c>
      <c r="P63">
        <v>512</v>
      </c>
      <c r="Q63">
        <v>422</v>
      </c>
      <c r="R63">
        <v>372</v>
      </c>
      <c r="S63">
        <v>332</v>
      </c>
      <c r="T63">
        <v>327</v>
      </c>
      <c r="U63" t="s">
        <v>152</v>
      </c>
      <c r="V63" t="s">
        <v>153</v>
      </c>
      <c r="W63" t="s">
        <v>16</v>
      </c>
      <c r="X63" t="s">
        <v>154</v>
      </c>
      <c r="Y63">
        <v>35.19</v>
      </c>
      <c r="Z63">
        <v>-79.680000000000007</v>
      </c>
      <c r="AA63" t="s">
        <v>18</v>
      </c>
      <c r="AB63" s="5">
        <f t="shared" si="4"/>
        <v>2</v>
      </c>
    </row>
    <row r="64" spans="1:37" x14ac:dyDescent="0.3">
      <c r="A64">
        <v>14</v>
      </c>
      <c r="B64">
        <v>311515</v>
      </c>
      <c r="C64" t="s">
        <v>58</v>
      </c>
      <c r="D64" t="s">
        <v>317</v>
      </c>
      <c r="E64">
        <v>35.332000000000001</v>
      </c>
      <c r="F64">
        <v>-79.406599999999997</v>
      </c>
      <c r="G64">
        <v>134.1</v>
      </c>
      <c r="H64" t="s">
        <v>14</v>
      </c>
      <c r="I64">
        <v>395</v>
      </c>
      <c r="J64">
        <v>343</v>
      </c>
      <c r="K64">
        <v>432</v>
      </c>
      <c r="L64">
        <v>298</v>
      </c>
      <c r="M64">
        <v>342</v>
      </c>
      <c r="N64">
        <v>429</v>
      </c>
      <c r="O64">
        <v>498</v>
      </c>
      <c r="P64">
        <v>514</v>
      </c>
      <c r="Q64">
        <v>438</v>
      </c>
      <c r="R64">
        <v>356</v>
      </c>
      <c r="S64">
        <v>346</v>
      </c>
      <c r="T64">
        <v>342</v>
      </c>
      <c r="U64" t="s">
        <v>59</v>
      </c>
      <c r="V64" t="s">
        <v>60</v>
      </c>
      <c r="W64" t="s">
        <v>16</v>
      </c>
      <c r="X64" t="s">
        <v>61</v>
      </c>
      <c r="Y64">
        <v>35.33</v>
      </c>
      <c r="Z64">
        <v>-79.41</v>
      </c>
      <c r="AA64" t="s">
        <v>18</v>
      </c>
      <c r="AB64" s="5">
        <f t="shared" si="4"/>
        <v>3</v>
      </c>
    </row>
    <row r="65" spans="1:28" x14ac:dyDescent="0.3">
      <c r="A65">
        <v>174</v>
      </c>
      <c r="B65">
        <v>93759</v>
      </c>
      <c r="C65" t="s">
        <v>228</v>
      </c>
      <c r="D65" t="s">
        <v>364</v>
      </c>
      <c r="E65">
        <v>35.854999999999997</v>
      </c>
      <c r="F65">
        <v>-77.893060000000006</v>
      </c>
      <c r="G65">
        <v>48.8</v>
      </c>
      <c r="H65" t="s">
        <v>14</v>
      </c>
      <c r="I65">
        <v>360</v>
      </c>
      <c r="J65">
        <v>290</v>
      </c>
      <c r="K65">
        <v>390</v>
      </c>
      <c r="L65">
        <v>312</v>
      </c>
      <c r="M65">
        <v>343</v>
      </c>
      <c r="N65">
        <v>413</v>
      </c>
      <c r="O65">
        <v>490</v>
      </c>
      <c r="P65">
        <v>482</v>
      </c>
      <c r="Q65">
        <v>443</v>
      </c>
      <c r="R65">
        <v>309</v>
      </c>
      <c r="S65">
        <v>304</v>
      </c>
      <c r="T65">
        <v>293</v>
      </c>
      <c r="U65" t="s">
        <v>19</v>
      </c>
      <c r="V65" t="s">
        <v>19</v>
      </c>
      <c r="W65" t="s">
        <v>19</v>
      </c>
      <c r="X65" t="s">
        <v>224</v>
      </c>
      <c r="Y65" t="s">
        <v>19</v>
      </c>
      <c r="Z65" t="s">
        <v>19</v>
      </c>
      <c r="AA65" t="s">
        <v>19</v>
      </c>
      <c r="AB65" s="5">
        <f t="shared" si="4"/>
        <v>3</v>
      </c>
    </row>
    <row r="66" spans="1:28" x14ac:dyDescent="0.3">
      <c r="A66">
        <v>180</v>
      </c>
      <c r="B66">
        <v>13748</v>
      </c>
      <c r="C66" t="s">
        <v>290</v>
      </c>
      <c r="D66" t="s">
        <v>381</v>
      </c>
      <c r="E66">
        <v>34.267499999999998</v>
      </c>
      <c r="F66">
        <v>-77.899699999999996</v>
      </c>
      <c r="G66">
        <v>10.1</v>
      </c>
      <c r="H66" t="s">
        <v>14</v>
      </c>
      <c r="I66">
        <v>376</v>
      </c>
      <c r="J66">
        <v>362</v>
      </c>
      <c r="K66">
        <v>421</v>
      </c>
      <c r="L66">
        <v>282</v>
      </c>
      <c r="M66">
        <v>449</v>
      </c>
      <c r="N66">
        <v>518</v>
      </c>
      <c r="O66">
        <v>748</v>
      </c>
      <c r="P66">
        <v>741</v>
      </c>
      <c r="Q66">
        <v>784</v>
      </c>
      <c r="R66">
        <v>389</v>
      </c>
      <c r="S66">
        <v>329</v>
      </c>
      <c r="T66">
        <v>362</v>
      </c>
      <c r="U66" t="s">
        <v>19</v>
      </c>
      <c r="V66" t="s">
        <v>19</v>
      </c>
      <c r="W66" t="s">
        <v>19</v>
      </c>
      <c r="X66" t="s">
        <v>289</v>
      </c>
      <c r="Y66" t="s">
        <v>19</v>
      </c>
      <c r="Z66" t="s">
        <v>19</v>
      </c>
      <c r="AA66" t="s">
        <v>19</v>
      </c>
      <c r="AB66" s="5">
        <f t="shared" si="4"/>
        <v>3</v>
      </c>
    </row>
    <row r="67" spans="1:28" x14ac:dyDescent="0.3">
      <c r="A67">
        <v>52</v>
      </c>
      <c r="B67">
        <v>314456</v>
      </c>
      <c r="C67" t="s">
        <v>148</v>
      </c>
      <c r="D67" t="s">
        <v>345</v>
      </c>
      <c r="E67">
        <v>36.396700000000003</v>
      </c>
      <c r="F67">
        <v>-77.423900000000003</v>
      </c>
      <c r="G67">
        <v>39.6</v>
      </c>
      <c r="H67" t="s">
        <v>14</v>
      </c>
      <c r="I67">
        <v>361</v>
      </c>
      <c r="J67">
        <v>311</v>
      </c>
      <c r="K67">
        <v>414</v>
      </c>
      <c r="L67">
        <v>343</v>
      </c>
      <c r="M67">
        <v>357</v>
      </c>
      <c r="N67">
        <v>403</v>
      </c>
      <c r="O67">
        <v>536</v>
      </c>
      <c r="P67">
        <v>495</v>
      </c>
      <c r="Q67">
        <v>468</v>
      </c>
      <c r="R67">
        <v>330</v>
      </c>
      <c r="S67">
        <v>326</v>
      </c>
      <c r="T67">
        <v>342</v>
      </c>
      <c r="U67" t="s">
        <v>149</v>
      </c>
      <c r="V67" t="s">
        <v>149</v>
      </c>
      <c r="W67" t="s">
        <v>16</v>
      </c>
      <c r="X67" t="s">
        <v>150</v>
      </c>
      <c r="Y67">
        <v>36.4</v>
      </c>
      <c r="Z67">
        <v>-77.42</v>
      </c>
      <c r="AA67" t="s">
        <v>18</v>
      </c>
      <c r="AB67" s="5">
        <f t="shared" si="4"/>
        <v>3</v>
      </c>
    </row>
    <row r="68" spans="1:28" x14ac:dyDescent="0.3">
      <c r="A68">
        <v>168</v>
      </c>
      <c r="B68">
        <v>314471</v>
      </c>
      <c r="C68" t="s">
        <v>155</v>
      </c>
      <c r="D68" t="s">
        <v>343</v>
      </c>
      <c r="E68">
        <v>34.796599999999998</v>
      </c>
      <c r="F68">
        <v>-77.400800000000004</v>
      </c>
      <c r="G68">
        <v>5.2</v>
      </c>
      <c r="H68" t="s">
        <v>14</v>
      </c>
      <c r="I68">
        <v>388</v>
      </c>
      <c r="J68">
        <v>327</v>
      </c>
      <c r="K68">
        <v>409</v>
      </c>
      <c r="L68">
        <v>316</v>
      </c>
      <c r="M68">
        <v>395</v>
      </c>
      <c r="N68">
        <v>536</v>
      </c>
      <c r="O68">
        <v>668</v>
      </c>
      <c r="P68">
        <v>692</v>
      </c>
      <c r="Q68">
        <v>616</v>
      </c>
      <c r="R68">
        <v>348</v>
      </c>
      <c r="S68">
        <v>311</v>
      </c>
      <c r="T68">
        <v>422</v>
      </c>
      <c r="U68" t="s">
        <v>19</v>
      </c>
      <c r="V68" t="s">
        <v>19</v>
      </c>
      <c r="W68" t="s">
        <v>19</v>
      </c>
      <c r="X68" t="s">
        <v>144</v>
      </c>
      <c r="Y68" t="s">
        <v>19</v>
      </c>
      <c r="Z68" t="s">
        <v>19</v>
      </c>
      <c r="AA68" t="s">
        <v>19</v>
      </c>
      <c r="AB68" s="5">
        <f t="shared" si="4"/>
        <v>3</v>
      </c>
    </row>
    <row r="69" spans="1:28" x14ac:dyDescent="0.3">
      <c r="A69">
        <v>156</v>
      </c>
      <c r="B69">
        <v>93785</v>
      </c>
      <c r="C69" t="s">
        <v>72</v>
      </c>
      <c r="D69" t="s">
        <v>321</v>
      </c>
      <c r="E69">
        <v>35.933329999999998</v>
      </c>
      <c r="F69">
        <v>-79.064170000000004</v>
      </c>
      <c r="G69">
        <v>156.1</v>
      </c>
      <c r="H69" t="s">
        <v>14</v>
      </c>
      <c r="I69">
        <v>383</v>
      </c>
      <c r="J69">
        <v>332</v>
      </c>
      <c r="K69">
        <v>449</v>
      </c>
      <c r="L69">
        <v>311</v>
      </c>
      <c r="M69">
        <v>367</v>
      </c>
      <c r="N69">
        <v>374</v>
      </c>
      <c r="O69">
        <v>402</v>
      </c>
      <c r="P69">
        <v>445</v>
      </c>
      <c r="Q69">
        <v>427</v>
      </c>
      <c r="R69">
        <v>318</v>
      </c>
      <c r="S69">
        <v>320</v>
      </c>
      <c r="T69">
        <v>318</v>
      </c>
      <c r="U69" t="s">
        <v>19</v>
      </c>
      <c r="V69" t="s">
        <v>19</v>
      </c>
      <c r="W69" t="s">
        <v>19</v>
      </c>
      <c r="X69" t="s">
        <v>71</v>
      </c>
      <c r="Y69" t="s">
        <v>19</v>
      </c>
      <c r="Z69" t="s">
        <v>19</v>
      </c>
      <c r="AA69" t="s">
        <v>19</v>
      </c>
      <c r="AB69" s="5">
        <f t="shared" si="4"/>
        <v>3</v>
      </c>
    </row>
    <row r="70" spans="1:28" x14ac:dyDescent="0.3">
      <c r="A70">
        <v>6</v>
      </c>
      <c r="B70">
        <v>310576</v>
      </c>
      <c r="C70" t="s">
        <v>38</v>
      </c>
      <c r="D70" t="s">
        <v>310</v>
      </c>
      <c r="E70">
        <v>35.131100000000004</v>
      </c>
      <c r="F70">
        <v>-76.816000000000003</v>
      </c>
      <c r="G70">
        <v>1.5</v>
      </c>
      <c r="H70" t="s">
        <v>14</v>
      </c>
      <c r="I70">
        <v>385</v>
      </c>
      <c r="J70">
        <v>321</v>
      </c>
      <c r="K70">
        <v>400</v>
      </c>
      <c r="L70">
        <v>361</v>
      </c>
      <c r="M70">
        <v>412</v>
      </c>
      <c r="N70">
        <v>518</v>
      </c>
      <c r="O70">
        <v>627</v>
      </c>
      <c r="P70">
        <v>725</v>
      </c>
      <c r="Q70">
        <v>588</v>
      </c>
      <c r="R70">
        <v>398</v>
      </c>
      <c r="S70">
        <v>378</v>
      </c>
      <c r="T70">
        <v>375</v>
      </c>
      <c r="U70" t="s">
        <v>39</v>
      </c>
      <c r="V70" t="s">
        <v>40</v>
      </c>
      <c r="W70" t="s">
        <v>16</v>
      </c>
      <c r="X70" t="s">
        <v>41</v>
      </c>
      <c r="Y70">
        <v>35.130000000000003</v>
      </c>
      <c r="Z70">
        <v>-76.819999999999993</v>
      </c>
      <c r="AA70" t="s">
        <v>18</v>
      </c>
      <c r="AB70" s="5">
        <f t="shared" si="4"/>
        <v>3</v>
      </c>
    </row>
    <row r="71" spans="1:28" x14ac:dyDescent="0.3">
      <c r="A71">
        <v>32</v>
      </c>
      <c r="B71">
        <v>312719</v>
      </c>
      <c r="C71" t="s">
        <v>108</v>
      </c>
      <c r="D71" t="s">
        <v>332</v>
      </c>
      <c r="E71">
        <v>36.309719999999999</v>
      </c>
      <c r="F71">
        <v>-76.204999999999998</v>
      </c>
      <c r="G71">
        <v>2.4</v>
      </c>
      <c r="H71" t="s">
        <v>14</v>
      </c>
      <c r="I71">
        <v>390</v>
      </c>
      <c r="J71">
        <v>325</v>
      </c>
      <c r="K71">
        <v>385</v>
      </c>
      <c r="L71">
        <v>312</v>
      </c>
      <c r="M71">
        <v>398</v>
      </c>
      <c r="N71">
        <v>459</v>
      </c>
      <c r="O71">
        <v>558</v>
      </c>
      <c r="P71">
        <v>569</v>
      </c>
      <c r="Q71">
        <v>476</v>
      </c>
      <c r="R71">
        <v>314</v>
      </c>
      <c r="S71">
        <v>326</v>
      </c>
      <c r="T71">
        <v>342</v>
      </c>
      <c r="U71" t="s">
        <v>109</v>
      </c>
      <c r="V71" t="s">
        <v>109</v>
      </c>
      <c r="W71" t="s">
        <v>16</v>
      </c>
      <c r="X71" t="s">
        <v>110</v>
      </c>
      <c r="Y71">
        <v>36.31</v>
      </c>
      <c r="Z71">
        <v>-76.209999999999994</v>
      </c>
      <c r="AA71" t="s">
        <v>18</v>
      </c>
      <c r="AB71" s="5">
        <f t="shared" si="4"/>
        <v>3</v>
      </c>
    </row>
    <row r="72" spans="1:28" x14ac:dyDescent="0.3">
      <c r="A72">
        <v>117</v>
      </c>
      <c r="B72">
        <v>319423</v>
      </c>
      <c r="C72" t="s">
        <v>282</v>
      </c>
      <c r="D72" t="s">
        <v>372</v>
      </c>
      <c r="E72">
        <v>34.661200000000001</v>
      </c>
      <c r="F72">
        <v>-78.045500000000004</v>
      </c>
      <c r="G72">
        <v>16.8</v>
      </c>
      <c r="H72" t="s">
        <v>14</v>
      </c>
      <c r="I72">
        <v>389</v>
      </c>
      <c r="J72">
        <v>350</v>
      </c>
      <c r="K72">
        <v>406</v>
      </c>
      <c r="L72">
        <v>325</v>
      </c>
      <c r="M72">
        <v>395</v>
      </c>
      <c r="N72">
        <v>520</v>
      </c>
      <c r="O72">
        <v>660</v>
      </c>
      <c r="P72">
        <v>661</v>
      </c>
      <c r="Q72">
        <v>608</v>
      </c>
      <c r="R72">
        <v>362</v>
      </c>
      <c r="S72">
        <v>294</v>
      </c>
      <c r="T72">
        <v>337</v>
      </c>
      <c r="U72" t="s">
        <v>283</v>
      </c>
      <c r="V72" t="s">
        <v>284</v>
      </c>
      <c r="W72" t="s">
        <v>16</v>
      </c>
      <c r="X72" t="s">
        <v>255</v>
      </c>
      <c r="Y72">
        <v>34.659999999999997</v>
      </c>
      <c r="Z72">
        <v>-78.05</v>
      </c>
      <c r="AA72" t="s">
        <v>18</v>
      </c>
      <c r="AB72" s="5">
        <f t="shared" ref="AB72:AB101" si="8">INDEX(latlongrunoff,MATCH(pptstalong,longrunoff,1),MATCH(pptstalat,latrunoff,1))</f>
        <v>3</v>
      </c>
    </row>
    <row r="73" spans="1:28" x14ac:dyDescent="0.3">
      <c r="D73" t="s">
        <v>714</v>
      </c>
      <c r="I73" s="11">
        <f>+I71</f>
        <v>390</v>
      </c>
      <c r="J73" s="11">
        <f t="shared" ref="J73:T73" si="9">+J71</f>
        <v>325</v>
      </c>
      <c r="K73" s="11">
        <f t="shared" si="9"/>
        <v>385</v>
      </c>
      <c r="L73" s="11">
        <f t="shared" si="9"/>
        <v>312</v>
      </c>
      <c r="M73" s="11">
        <f t="shared" si="9"/>
        <v>398</v>
      </c>
      <c r="N73" s="11">
        <f t="shared" si="9"/>
        <v>459</v>
      </c>
      <c r="O73" s="11">
        <f t="shared" si="9"/>
        <v>558</v>
      </c>
      <c r="P73" s="11">
        <f t="shared" si="9"/>
        <v>569</v>
      </c>
      <c r="Q73" s="11">
        <f t="shared" si="9"/>
        <v>476</v>
      </c>
      <c r="R73" s="11">
        <f t="shared" si="9"/>
        <v>314</v>
      </c>
      <c r="S73" s="11">
        <f t="shared" si="9"/>
        <v>326</v>
      </c>
      <c r="T73" s="11">
        <f t="shared" si="9"/>
        <v>342</v>
      </c>
    </row>
    <row r="74" spans="1:28" x14ac:dyDescent="0.3">
      <c r="A74">
        <v>94</v>
      </c>
      <c r="B74">
        <v>317516</v>
      </c>
      <c r="C74" t="s">
        <v>229</v>
      </c>
      <c r="D74" t="s">
        <v>366</v>
      </c>
      <c r="E74">
        <v>36.346400000000003</v>
      </c>
      <c r="F74">
        <v>-78.885800000000003</v>
      </c>
      <c r="G74">
        <v>216.4</v>
      </c>
      <c r="H74" t="s">
        <v>14</v>
      </c>
      <c r="I74">
        <v>381</v>
      </c>
      <c r="J74">
        <v>333</v>
      </c>
      <c r="K74">
        <v>445</v>
      </c>
      <c r="L74">
        <v>334</v>
      </c>
      <c r="M74">
        <v>335</v>
      </c>
      <c r="N74">
        <v>384</v>
      </c>
      <c r="O74">
        <v>457</v>
      </c>
      <c r="P74">
        <v>389</v>
      </c>
      <c r="Q74">
        <v>391</v>
      </c>
      <c r="R74">
        <v>372</v>
      </c>
      <c r="S74">
        <v>346</v>
      </c>
      <c r="T74">
        <v>370</v>
      </c>
      <c r="U74" t="s">
        <v>230</v>
      </c>
      <c r="V74" t="s">
        <v>231</v>
      </c>
      <c r="W74" t="s">
        <v>16</v>
      </c>
      <c r="X74" t="s">
        <v>232</v>
      </c>
      <c r="Y74">
        <v>36.35</v>
      </c>
      <c r="Z74">
        <v>-78.89</v>
      </c>
      <c r="AA74" t="s">
        <v>18</v>
      </c>
      <c r="AB74" s="5">
        <f t="shared" si="8"/>
        <v>3</v>
      </c>
    </row>
    <row r="75" spans="1:28" x14ac:dyDescent="0.3">
      <c r="A75">
        <v>44</v>
      </c>
      <c r="B75">
        <v>313638</v>
      </c>
      <c r="C75" t="s">
        <v>134</v>
      </c>
      <c r="D75" t="s">
        <v>340</v>
      </c>
      <c r="E75">
        <v>35.64</v>
      </c>
      <c r="F75">
        <v>-77.398399999999995</v>
      </c>
      <c r="G75">
        <v>9.8000000000000007</v>
      </c>
      <c r="H75" t="s">
        <v>14</v>
      </c>
      <c r="I75">
        <v>386</v>
      </c>
      <c r="J75">
        <v>335</v>
      </c>
      <c r="K75">
        <v>404</v>
      </c>
      <c r="L75">
        <v>317</v>
      </c>
      <c r="M75">
        <v>385</v>
      </c>
      <c r="N75">
        <v>431</v>
      </c>
      <c r="O75">
        <v>539</v>
      </c>
      <c r="P75">
        <v>614</v>
      </c>
      <c r="Q75">
        <v>583</v>
      </c>
      <c r="R75">
        <v>325</v>
      </c>
      <c r="S75">
        <v>312</v>
      </c>
      <c r="T75">
        <v>325</v>
      </c>
      <c r="U75" t="s">
        <v>135</v>
      </c>
      <c r="V75" t="s">
        <v>135</v>
      </c>
      <c r="W75" t="s">
        <v>16</v>
      </c>
      <c r="X75" t="s">
        <v>136</v>
      </c>
      <c r="Y75">
        <v>35.64</v>
      </c>
      <c r="Z75">
        <v>-77.400000000000006</v>
      </c>
      <c r="AA75" t="s">
        <v>18</v>
      </c>
      <c r="AB75" s="5">
        <f t="shared" si="8"/>
        <v>3</v>
      </c>
    </row>
    <row r="76" spans="1:28" x14ac:dyDescent="0.3">
      <c r="A76">
        <v>108</v>
      </c>
      <c r="B76">
        <v>318744</v>
      </c>
      <c r="C76" t="s">
        <v>266</v>
      </c>
      <c r="D76" t="s">
        <v>376</v>
      </c>
      <c r="E76">
        <v>35.205800000000004</v>
      </c>
      <c r="F76">
        <v>-82.251599999999996</v>
      </c>
      <c r="G76">
        <v>365.8</v>
      </c>
      <c r="H76" t="s">
        <v>14</v>
      </c>
      <c r="I76">
        <v>510</v>
      </c>
      <c r="J76">
        <v>486</v>
      </c>
      <c r="K76">
        <v>576</v>
      </c>
      <c r="L76">
        <v>458</v>
      </c>
      <c r="M76">
        <v>457</v>
      </c>
      <c r="N76">
        <v>538</v>
      </c>
      <c r="O76">
        <v>527</v>
      </c>
      <c r="P76">
        <v>618</v>
      </c>
      <c r="Q76">
        <v>538</v>
      </c>
      <c r="R76">
        <v>465</v>
      </c>
      <c r="S76">
        <v>480</v>
      </c>
      <c r="T76">
        <v>524</v>
      </c>
      <c r="U76" t="s">
        <v>267</v>
      </c>
      <c r="V76" t="s">
        <v>267</v>
      </c>
      <c r="W76" t="s">
        <v>16</v>
      </c>
      <c r="X76" t="s">
        <v>268</v>
      </c>
      <c r="Y76">
        <v>35.21</v>
      </c>
      <c r="Z76">
        <v>-82.25</v>
      </c>
      <c r="AA76" t="s">
        <v>18</v>
      </c>
      <c r="AB76" s="5">
        <f t="shared" si="8"/>
        <v>1</v>
      </c>
    </row>
    <row r="77" spans="1:28" x14ac:dyDescent="0.3">
      <c r="A77">
        <v>3</v>
      </c>
      <c r="B77">
        <v>310286</v>
      </c>
      <c r="C77" t="s">
        <v>24</v>
      </c>
      <c r="D77" t="s">
        <v>305</v>
      </c>
      <c r="E77">
        <v>35.704439999999998</v>
      </c>
      <c r="F77">
        <v>-79.837779999999995</v>
      </c>
      <c r="G77">
        <v>265.2</v>
      </c>
      <c r="H77" t="s">
        <v>14</v>
      </c>
      <c r="I77">
        <v>383</v>
      </c>
      <c r="J77">
        <v>364</v>
      </c>
      <c r="K77">
        <v>402</v>
      </c>
      <c r="L77">
        <v>364</v>
      </c>
      <c r="M77">
        <v>352</v>
      </c>
      <c r="N77">
        <v>390</v>
      </c>
      <c r="O77">
        <v>408</v>
      </c>
      <c r="P77">
        <v>417</v>
      </c>
      <c r="Q77">
        <v>394</v>
      </c>
      <c r="R77">
        <v>368</v>
      </c>
      <c r="S77">
        <v>341</v>
      </c>
      <c r="T77">
        <v>327</v>
      </c>
      <c r="U77" t="s">
        <v>25</v>
      </c>
      <c r="V77" t="s">
        <v>26</v>
      </c>
      <c r="W77" t="s">
        <v>16</v>
      </c>
      <c r="X77" t="s">
        <v>27</v>
      </c>
      <c r="Y77">
        <v>35.700000000000003</v>
      </c>
      <c r="Z77">
        <v>-79.84</v>
      </c>
      <c r="AA77" t="s">
        <v>18</v>
      </c>
      <c r="AB77" s="5">
        <f t="shared" si="8"/>
        <v>2</v>
      </c>
    </row>
    <row r="78" spans="1:28" x14ac:dyDescent="0.3">
      <c r="A78">
        <v>45</v>
      </c>
      <c r="B78">
        <v>313784</v>
      </c>
      <c r="C78" t="s">
        <v>137</v>
      </c>
      <c r="D78" t="s">
        <v>341</v>
      </c>
      <c r="E78">
        <v>34.8872</v>
      </c>
      <c r="F78">
        <v>-79.6922</v>
      </c>
      <c r="G78">
        <v>106.7</v>
      </c>
      <c r="H78" t="s">
        <v>14</v>
      </c>
      <c r="I78">
        <v>379</v>
      </c>
      <c r="J78">
        <v>342</v>
      </c>
      <c r="K78">
        <v>383</v>
      </c>
      <c r="L78">
        <v>285</v>
      </c>
      <c r="M78">
        <v>323</v>
      </c>
      <c r="N78">
        <v>473</v>
      </c>
      <c r="O78">
        <v>616</v>
      </c>
      <c r="P78">
        <v>480</v>
      </c>
      <c r="Q78">
        <v>475</v>
      </c>
      <c r="R78">
        <v>396</v>
      </c>
      <c r="S78">
        <v>332</v>
      </c>
      <c r="T78">
        <v>316</v>
      </c>
      <c r="U78" t="s">
        <v>138</v>
      </c>
      <c r="V78" t="s">
        <v>138</v>
      </c>
      <c r="W78" t="s">
        <v>16</v>
      </c>
      <c r="X78" t="s">
        <v>139</v>
      </c>
      <c r="Y78">
        <v>34.89</v>
      </c>
      <c r="Z78">
        <v>-79.69</v>
      </c>
      <c r="AA78" t="s">
        <v>18</v>
      </c>
      <c r="AB78" s="5">
        <f t="shared" si="8"/>
        <v>3</v>
      </c>
    </row>
    <row r="79" spans="1:28" x14ac:dyDescent="0.3">
      <c r="A79">
        <v>159</v>
      </c>
      <c r="B79">
        <v>13776</v>
      </c>
      <c r="C79" t="s">
        <v>180</v>
      </c>
      <c r="D79" t="s">
        <v>353</v>
      </c>
      <c r="E79">
        <v>34.608060000000002</v>
      </c>
      <c r="F79">
        <v>-79.059169999999995</v>
      </c>
      <c r="G79">
        <v>36.9</v>
      </c>
      <c r="H79" t="s">
        <v>14</v>
      </c>
      <c r="I79">
        <v>297</v>
      </c>
      <c r="J79">
        <v>290</v>
      </c>
      <c r="K79">
        <v>333</v>
      </c>
      <c r="L79">
        <v>282</v>
      </c>
      <c r="M79">
        <v>305</v>
      </c>
      <c r="N79">
        <v>434</v>
      </c>
      <c r="O79">
        <v>548</v>
      </c>
      <c r="P79">
        <v>550</v>
      </c>
      <c r="Q79">
        <v>480</v>
      </c>
      <c r="R79">
        <v>257</v>
      </c>
      <c r="S79">
        <v>287</v>
      </c>
      <c r="T79">
        <v>289</v>
      </c>
      <c r="U79" t="s">
        <v>19</v>
      </c>
      <c r="V79" t="s">
        <v>19</v>
      </c>
      <c r="W79" t="s">
        <v>19</v>
      </c>
      <c r="X79" t="s">
        <v>179</v>
      </c>
      <c r="Y79" t="s">
        <v>19</v>
      </c>
      <c r="Z79" t="s">
        <v>19</v>
      </c>
      <c r="AA79" t="s">
        <v>19</v>
      </c>
      <c r="AB79" s="5">
        <f t="shared" si="8"/>
        <v>3</v>
      </c>
    </row>
    <row r="80" spans="1:28" x14ac:dyDescent="0.3">
      <c r="A80">
        <v>88</v>
      </c>
      <c r="B80">
        <v>317202</v>
      </c>
      <c r="C80" t="s">
        <v>218</v>
      </c>
      <c r="D80" t="s">
        <v>330</v>
      </c>
      <c r="E80">
        <v>36.3825</v>
      </c>
      <c r="F80">
        <v>-79.694699999999997</v>
      </c>
      <c r="G80">
        <v>271.3</v>
      </c>
      <c r="H80" t="s">
        <v>14</v>
      </c>
      <c r="I80">
        <v>386</v>
      </c>
      <c r="J80">
        <v>340</v>
      </c>
      <c r="K80">
        <v>431</v>
      </c>
      <c r="L80">
        <v>390</v>
      </c>
      <c r="M80">
        <v>382</v>
      </c>
      <c r="N80">
        <v>394</v>
      </c>
      <c r="O80">
        <v>481</v>
      </c>
      <c r="P80">
        <v>392</v>
      </c>
      <c r="Q80">
        <v>418</v>
      </c>
      <c r="R80">
        <v>345</v>
      </c>
      <c r="S80">
        <v>345</v>
      </c>
      <c r="T80">
        <v>333</v>
      </c>
      <c r="U80" t="s">
        <v>219</v>
      </c>
      <c r="V80" t="s">
        <v>220</v>
      </c>
      <c r="W80" t="s">
        <v>16</v>
      </c>
      <c r="X80" t="s">
        <v>104</v>
      </c>
      <c r="Y80">
        <v>36.380000000000003</v>
      </c>
      <c r="Z80">
        <v>-79.69</v>
      </c>
      <c r="AA80" t="s">
        <v>18</v>
      </c>
      <c r="AB80" s="5">
        <f t="shared" si="8"/>
        <v>2</v>
      </c>
    </row>
    <row r="81" spans="1:28" x14ac:dyDescent="0.3">
      <c r="A81">
        <v>96</v>
      </c>
      <c r="B81">
        <v>317618</v>
      </c>
      <c r="C81" t="s">
        <v>235</v>
      </c>
      <c r="D81" t="s">
        <v>367</v>
      </c>
      <c r="E81">
        <v>35.696599999999997</v>
      </c>
      <c r="F81">
        <v>-80.622699999999995</v>
      </c>
      <c r="G81">
        <v>251.5</v>
      </c>
      <c r="H81" t="s">
        <v>14</v>
      </c>
      <c r="I81">
        <v>342</v>
      </c>
      <c r="J81">
        <v>350</v>
      </c>
      <c r="K81">
        <v>410</v>
      </c>
      <c r="L81">
        <v>354</v>
      </c>
      <c r="M81">
        <v>321</v>
      </c>
      <c r="N81">
        <v>428</v>
      </c>
      <c r="O81">
        <v>342</v>
      </c>
      <c r="P81">
        <v>379</v>
      </c>
      <c r="Q81">
        <v>375</v>
      </c>
      <c r="R81">
        <v>329</v>
      </c>
      <c r="S81">
        <v>314</v>
      </c>
      <c r="T81">
        <v>337</v>
      </c>
      <c r="U81" t="s">
        <v>236</v>
      </c>
      <c r="V81" t="s">
        <v>233</v>
      </c>
      <c r="W81" t="s">
        <v>16</v>
      </c>
      <c r="X81" t="s">
        <v>234</v>
      </c>
      <c r="Y81">
        <v>35.700000000000003</v>
      </c>
      <c r="Z81">
        <v>-80.62</v>
      </c>
      <c r="AA81" t="s">
        <v>18</v>
      </c>
      <c r="AB81" s="5">
        <f t="shared" si="8"/>
        <v>1.5</v>
      </c>
    </row>
    <row r="82" spans="1:28" x14ac:dyDescent="0.3">
      <c r="A82">
        <v>173</v>
      </c>
      <c r="B82">
        <v>313152</v>
      </c>
      <c r="C82" t="s">
        <v>124</v>
      </c>
      <c r="D82" t="s">
        <v>336</v>
      </c>
      <c r="E82">
        <v>35.3125</v>
      </c>
      <c r="F82">
        <v>-81.988889999999998</v>
      </c>
      <c r="G82">
        <v>258.8</v>
      </c>
      <c r="H82" t="s">
        <v>14</v>
      </c>
      <c r="I82">
        <v>421</v>
      </c>
      <c r="J82">
        <v>397</v>
      </c>
      <c r="K82">
        <v>474</v>
      </c>
      <c r="L82">
        <v>370</v>
      </c>
      <c r="M82">
        <v>442</v>
      </c>
      <c r="N82">
        <v>458</v>
      </c>
      <c r="O82">
        <v>447</v>
      </c>
      <c r="P82">
        <v>470</v>
      </c>
      <c r="Q82">
        <v>429</v>
      </c>
      <c r="R82">
        <v>377</v>
      </c>
      <c r="S82">
        <v>402</v>
      </c>
      <c r="T82">
        <v>430</v>
      </c>
      <c r="U82" t="s">
        <v>19</v>
      </c>
      <c r="V82" t="s">
        <v>19</v>
      </c>
      <c r="W82" t="s">
        <v>19</v>
      </c>
      <c r="X82" t="s">
        <v>125</v>
      </c>
      <c r="Y82" t="s">
        <v>19</v>
      </c>
      <c r="Z82" t="s">
        <v>19</v>
      </c>
      <c r="AA82" t="s">
        <v>19</v>
      </c>
      <c r="AB82" s="5">
        <f t="shared" si="8"/>
        <v>1</v>
      </c>
    </row>
    <row r="83" spans="1:28" x14ac:dyDescent="0.3">
      <c r="A83">
        <v>22</v>
      </c>
      <c r="B83">
        <v>311881</v>
      </c>
      <c r="C83" t="s">
        <v>79</v>
      </c>
      <c r="D83" t="s">
        <v>324</v>
      </c>
      <c r="E83">
        <v>35.024700000000003</v>
      </c>
      <c r="F83">
        <v>-78.275800000000004</v>
      </c>
      <c r="G83">
        <v>48.2</v>
      </c>
      <c r="H83" t="s">
        <v>14</v>
      </c>
      <c r="I83">
        <v>371</v>
      </c>
      <c r="J83">
        <v>321</v>
      </c>
      <c r="K83">
        <v>400</v>
      </c>
      <c r="L83">
        <v>299</v>
      </c>
      <c r="M83">
        <v>362</v>
      </c>
      <c r="N83">
        <v>472</v>
      </c>
      <c r="O83">
        <v>602</v>
      </c>
      <c r="P83">
        <v>590</v>
      </c>
      <c r="Q83">
        <v>513</v>
      </c>
      <c r="R83">
        <v>302</v>
      </c>
      <c r="S83">
        <v>312</v>
      </c>
      <c r="T83">
        <v>318</v>
      </c>
      <c r="U83" t="s">
        <v>80</v>
      </c>
      <c r="V83" t="s">
        <v>81</v>
      </c>
      <c r="W83" t="s">
        <v>16</v>
      </c>
      <c r="X83" t="s">
        <v>82</v>
      </c>
      <c r="Y83">
        <v>35.020000000000003</v>
      </c>
      <c r="Z83">
        <v>-78.28</v>
      </c>
      <c r="AA83" t="s">
        <v>18</v>
      </c>
      <c r="AB83" s="5">
        <f t="shared" si="8"/>
        <v>3</v>
      </c>
    </row>
    <row r="84" spans="1:28" x14ac:dyDescent="0.3">
      <c r="A84">
        <v>136</v>
      </c>
      <c r="B84">
        <v>93782</v>
      </c>
      <c r="C84" t="s">
        <v>162</v>
      </c>
      <c r="D84" t="s">
        <v>348</v>
      </c>
      <c r="E84">
        <v>34.791670000000003</v>
      </c>
      <c r="F84">
        <v>-79.366110000000006</v>
      </c>
      <c r="G84">
        <v>67.099999999999994</v>
      </c>
      <c r="H84" t="s">
        <v>14</v>
      </c>
      <c r="I84">
        <v>309</v>
      </c>
      <c r="J84">
        <v>232</v>
      </c>
      <c r="K84">
        <v>300</v>
      </c>
      <c r="L84">
        <v>255</v>
      </c>
      <c r="M84">
        <v>341</v>
      </c>
      <c r="N84">
        <v>375</v>
      </c>
      <c r="O84">
        <v>465</v>
      </c>
      <c r="P84">
        <v>434</v>
      </c>
      <c r="Q84">
        <v>458</v>
      </c>
      <c r="R84">
        <v>316</v>
      </c>
      <c r="S84">
        <v>251</v>
      </c>
      <c r="T84">
        <v>260</v>
      </c>
      <c r="U84" t="s">
        <v>19</v>
      </c>
      <c r="V84" t="s">
        <v>19</v>
      </c>
      <c r="W84" t="s">
        <v>19</v>
      </c>
      <c r="X84" t="s">
        <v>161</v>
      </c>
      <c r="Y84" t="s">
        <v>19</v>
      </c>
      <c r="Z84" t="s">
        <v>19</v>
      </c>
      <c r="AA84" t="s">
        <v>19</v>
      </c>
      <c r="AB84" s="5">
        <f t="shared" si="8"/>
        <v>3</v>
      </c>
    </row>
    <row r="85" spans="1:28" x14ac:dyDescent="0.3">
      <c r="A85">
        <v>1</v>
      </c>
      <c r="B85">
        <v>310090</v>
      </c>
      <c r="C85" t="s">
        <v>13</v>
      </c>
      <c r="D85" t="s">
        <v>302</v>
      </c>
      <c r="E85">
        <v>35.399169999999998</v>
      </c>
      <c r="F85">
        <v>-80.199439999999996</v>
      </c>
      <c r="G85">
        <v>185.9</v>
      </c>
      <c r="H85" t="s">
        <v>14</v>
      </c>
      <c r="I85">
        <v>405</v>
      </c>
      <c r="J85">
        <v>351</v>
      </c>
      <c r="K85">
        <v>437</v>
      </c>
      <c r="L85">
        <v>345</v>
      </c>
      <c r="M85">
        <v>363</v>
      </c>
      <c r="N85">
        <v>471</v>
      </c>
      <c r="O85">
        <v>553</v>
      </c>
      <c r="P85">
        <v>464</v>
      </c>
      <c r="Q85">
        <v>430</v>
      </c>
      <c r="R85">
        <v>379</v>
      </c>
      <c r="S85">
        <v>336</v>
      </c>
      <c r="T85">
        <v>342</v>
      </c>
      <c r="U85" t="s">
        <v>15</v>
      </c>
      <c r="V85" t="s">
        <v>15</v>
      </c>
      <c r="W85" t="s">
        <v>16</v>
      </c>
      <c r="X85" t="s">
        <v>17</v>
      </c>
      <c r="Y85">
        <v>35.4</v>
      </c>
      <c r="Z85">
        <v>-80.2</v>
      </c>
      <c r="AA85" t="s">
        <v>18</v>
      </c>
      <c r="AB85" s="5">
        <f t="shared" si="8"/>
        <v>1.5</v>
      </c>
    </row>
    <row r="86" spans="1:28" x14ac:dyDescent="0.3">
      <c r="A86">
        <v>27</v>
      </c>
      <c r="B86">
        <v>312238</v>
      </c>
      <c r="C86" t="s">
        <v>93</v>
      </c>
      <c r="D86" t="s">
        <v>327</v>
      </c>
      <c r="E86">
        <v>36.414700000000003</v>
      </c>
      <c r="F86">
        <v>-80.216899999999995</v>
      </c>
      <c r="G86">
        <v>256</v>
      </c>
      <c r="H86" t="s">
        <v>14</v>
      </c>
      <c r="I86">
        <v>368</v>
      </c>
      <c r="J86">
        <v>304</v>
      </c>
      <c r="K86">
        <v>429</v>
      </c>
      <c r="L86">
        <v>355</v>
      </c>
      <c r="M86">
        <v>403</v>
      </c>
      <c r="N86">
        <v>401</v>
      </c>
      <c r="O86">
        <v>501</v>
      </c>
      <c r="P86">
        <v>430</v>
      </c>
      <c r="Q86">
        <v>456</v>
      </c>
      <c r="R86">
        <v>360</v>
      </c>
      <c r="S86">
        <v>325</v>
      </c>
      <c r="T86">
        <v>360</v>
      </c>
      <c r="U86" t="s">
        <v>94</v>
      </c>
      <c r="V86" t="s">
        <v>94</v>
      </c>
      <c r="W86" t="s">
        <v>16</v>
      </c>
      <c r="X86" t="s">
        <v>95</v>
      </c>
      <c r="Y86">
        <v>36.409999999999997</v>
      </c>
      <c r="Z86">
        <v>-80.22</v>
      </c>
      <c r="AA86" t="s">
        <v>18</v>
      </c>
      <c r="AB86" s="5">
        <f t="shared" si="8"/>
        <v>1.5</v>
      </c>
    </row>
    <row r="87" spans="1:28" x14ac:dyDescent="0.3">
      <c r="A87">
        <v>34</v>
      </c>
      <c r="B87">
        <v>312740</v>
      </c>
      <c r="C87" t="s">
        <v>114</v>
      </c>
      <c r="D87" t="s">
        <v>333</v>
      </c>
      <c r="E87">
        <v>36.254399999999997</v>
      </c>
      <c r="F87">
        <v>-80.864999999999995</v>
      </c>
      <c r="G87">
        <v>265.2</v>
      </c>
      <c r="H87" t="s">
        <v>14</v>
      </c>
      <c r="I87">
        <v>375</v>
      </c>
      <c r="J87">
        <v>337</v>
      </c>
      <c r="K87">
        <v>417</v>
      </c>
      <c r="L87">
        <v>398</v>
      </c>
      <c r="M87">
        <v>394</v>
      </c>
      <c r="N87">
        <v>402</v>
      </c>
      <c r="O87">
        <v>487</v>
      </c>
      <c r="P87">
        <v>401</v>
      </c>
      <c r="Q87">
        <v>392</v>
      </c>
      <c r="R87">
        <v>334</v>
      </c>
      <c r="S87">
        <v>306</v>
      </c>
      <c r="T87">
        <v>363</v>
      </c>
      <c r="U87" t="s">
        <v>115</v>
      </c>
      <c r="V87" t="s">
        <v>115</v>
      </c>
      <c r="W87" t="s">
        <v>16</v>
      </c>
      <c r="X87" t="s">
        <v>116</v>
      </c>
      <c r="Y87">
        <v>36.25</v>
      </c>
      <c r="Z87">
        <v>-80.87</v>
      </c>
      <c r="AA87" t="s">
        <v>18</v>
      </c>
      <c r="AB87" s="5">
        <f t="shared" si="8"/>
        <v>1.5</v>
      </c>
    </row>
    <row r="88" spans="1:28" x14ac:dyDescent="0.3">
      <c r="A88">
        <v>80</v>
      </c>
      <c r="B88">
        <v>316341</v>
      </c>
      <c r="C88" t="s">
        <v>203</v>
      </c>
      <c r="D88" t="s">
        <v>361</v>
      </c>
      <c r="E88">
        <v>35.5261</v>
      </c>
      <c r="F88">
        <v>-83.308899999999994</v>
      </c>
      <c r="G88">
        <v>621.79999999999995</v>
      </c>
      <c r="H88" t="s">
        <v>14</v>
      </c>
      <c r="I88">
        <v>487</v>
      </c>
      <c r="J88">
        <v>469</v>
      </c>
      <c r="K88">
        <v>504</v>
      </c>
      <c r="L88">
        <v>431</v>
      </c>
      <c r="M88">
        <v>513</v>
      </c>
      <c r="N88">
        <v>439</v>
      </c>
      <c r="O88">
        <v>491</v>
      </c>
      <c r="P88">
        <v>394</v>
      </c>
      <c r="Q88">
        <v>424</v>
      </c>
      <c r="R88">
        <v>284</v>
      </c>
      <c r="S88">
        <v>449</v>
      </c>
      <c r="T88">
        <v>494</v>
      </c>
      <c r="U88" t="s">
        <v>204</v>
      </c>
      <c r="V88" t="s">
        <v>204</v>
      </c>
      <c r="W88" t="s">
        <v>16</v>
      </c>
      <c r="X88" t="s">
        <v>205</v>
      </c>
      <c r="Y88">
        <v>35.53</v>
      </c>
      <c r="Z88">
        <v>-83.31</v>
      </c>
      <c r="AA88" t="s">
        <v>18</v>
      </c>
      <c r="AB88" s="5">
        <f t="shared" si="8"/>
        <v>1</v>
      </c>
    </row>
    <row r="89" spans="1:28" x14ac:dyDescent="0.3">
      <c r="A89">
        <v>10</v>
      </c>
      <c r="B89">
        <v>311055</v>
      </c>
      <c r="C89" t="s">
        <v>47</v>
      </c>
      <c r="D89" t="s">
        <v>312</v>
      </c>
      <c r="E89">
        <v>35.228299999999997</v>
      </c>
      <c r="F89">
        <v>-82.735799999999998</v>
      </c>
      <c r="G89">
        <v>676.7</v>
      </c>
      <c r="H89" t="s">
        <v>14</v>
      </c>
      <c r="I89">
        <v>640</v>
      </c>
      <c r="J89">
        <v>568</v>
      </c>
      <c r="K89">
        <v>560</v>
      </c>
      <c r="L89">
        <v>471</v>
      </c>
      <c r="M89">
        <v>508</v>
      </c>
      <c r="N89">
        <v>607</v>
      </c>
      <c r="O89">
        <v>516</v>
      </c>
      <c r="P89">
        <v>609</v>
      </c>
      <c r="Q89">
        <v>502</v>
      </c>
      <c r="R89">
        <v>446</v>
      </c>
      <c r="S89">
        <v>536</v>
      </c>
      <c r="T89">
        <v>638</v>
      </c>
      <c r="U89" t="s">
        <v>48</v>
      </c>
      <c r="V89" t="s">
        <v>48</v>
      </c>
      <c r="W89" t="s">
        <v>16</v>
      </c>
      <c r="X89" t="s">
        <v>49</v>
      </c>
      <c r="Y89">
        <v>35.229999999999997</v>
      </c>
      <c r="Z89">
        <v>-82.74</v>
      </c>
      <c r="AA89" t="s">
        <v>18</v>
      </c>
      <c r="AB89" s="5">
        <f t="shared" si="8"/>
        <v>1</v>
      </c>
    </row>
    <row r="90" spans="1:28" x14ac:dyDescent="0.3">
      <c r="D90" t="s">
        <v>716</v>
      </c>
      <c r="I90" s="11">
        <f>+I29</f>
        <v>413</v>
      </c>
      <c r="J90" s="11">
        <f t="shared" ref="J90:S90" si="10">+J29</f>
        <v>305</v>
      </c>
      <c r="K90" s="11">
        <f t="shared" si="10"/>
        <v>431</v>
      </c>
      <c r="L90" s="11">
        <f t="shared" si="10"/>
        <v>313</v>
      </c>
      <c r="M90" s="11">
        <f t="shared" si="10"/>
        <v>392</v>
      </c>
      <c r="N90" s="11">
        <f t="shared" si="10"/>
        <v>501</v>
      </c>
      <c r="O90" s="11">
        <f t="shared" si="10"/>
        <v>518</v>
      </c>
      <c r="P90" s="11">
        <f t="shared" si="10"/>
        <v>569</v>
      </c>
      <c r="Q90" s="11">
        <f t="shared" si="10"/>
        <v>464</v>
      </c>
      <c r="R90" s="11">
        <f t="shared" si="10"/>
        <v>344</v>
      </c>
      <c r="S90" s="11">
        <f t="shared" si="10"/>
        <v>348</v>
      </c>
      <c r="T90" s="11">
        <f>+T29</f>
        <v>399</v>
      </c>
    </row>
    <row r="91" spans="1:28" x14ac:dyDescent="0.3">
      <c r="A91">
        <v>178</v>
      </c>
      <c r="B91">
        <v>53872</v>
      </c>
      <c r="C91" t="s">
        <v>191</v>
      </c>
      <c r="D91" t="s">
        <v>356</v>
      </c>
      <c r="E91">
        <v>35.016939999999998</v>
      </c>
      <c r="F91">
        <v>-80.620559999999998</v>
      </c>
      <c r="G91">
        <v>207</v>
      </c>
      <c r="H91" t="s">
        <v>14</v>
      </c>
      <c r="I91">
        <v>374</v>
      </c>
      <c r="J91">
        <v>360</v>
      </c>
      <c r="K91">
        <v>384</v>
      </c>
      <c r="L91">
        <v>302</v>
      </c>
      <c r="M91">
        <v>299</v>
      </c>
      <c r="N91">
        <v>417</v>
      </c>
      <c r="O91">
        <v>419</v>
      </c>
      <c r="P91">
        <v>462</v>
      </c>
      <c r="Q91">
        <v>356</v>
      </c>
      <c r="R91">
        <v>368</v>
      </c>
      <c r="S91">
        <v>318</v>
      </c>
      <c r="T91">
        <v>320</v>
      </c>
      <c r="U91" t="s">
        <v>19</v>
      </c>
      <c r="V91" t="s">
        <v>19</v>
      </c>
      <c r="W91" t="s">
        <v>19</v>
      </c>
      <c r="X91" t="s">
        <v>190</v>
      </c>
      <c r="Y91" t="s">
        <v>19</v>
      </c>
      <c r="Z91" t="s">
        <v>19</v>
      </c>
      <c r="AA91" t="s">
        <v>19</v>
      </c>
      <c r="AB91" s="5">
        <f t="shared" si="8"/>
        <v>1.5</v>
      </c>
    </row>
    <row r="92" spans="1:28" x14ac:dyDescent="0.3">
      <c r="D92" t="s">
        <v>710</v>
      </c>
      <c r="I92">
        <f>+I40</f>
        <v>321</v>
      </c>
      <c r="J92">
        <f t="shared" ref="J92:T92" si="11">+J40</f>
        <v>283</v>
      </c>
      <c r="K92">
        <f t="shared" si="11"/>
        <v>484</v>
      </c>
      <c r="L92">
        <f t="shared" si="11"/>
        <v>308</v>
      </c>
      <c r="M92">
        <f t="shared" si="11"/>
        <v>358</v>
      </c>
      <c r="N92">
        <f t="shared" si="11"/>
        <v>405</v>
      </c>
      <c r="O92">
        <f t="shared" si="11"/>
        <v>469</v>
      </c>
      <c r="P92">
        <f t="shared" si="11"/>
        <v>540</v>
      </c>
      <c r="Q92">
        <f t="shared" si="11"/>
        <v>389</v>
      </c>
      <c r="R92">
        <f t="shared" si="11"/>
        <v>358</v>
      </c>
      <c r="S92">
        <f t="shared" si="11"/>
        <v>305</v>
      </c>
      <c r="T92">
        <f t="shared" si="11"/>
        <v>372</v>
      </c>
      <c r="X92" t="str">
        <f>+D92</f>
        <v>Vance</v>
      </c>
    </row>
    <row r="93" spans="1:28" x14ac:dyDescent="0.3">
      <c r="A93">
        <v>84</v>
      </c>
      <c r="B93">
        <v>317074</v>
      </c>
      <c r="C93" t="s">
        <v>215</v>
      </c>
      <c r="D93" t="s">
        <v>303</v>
      </c>
      <c r="E93">
        <v>35.729399999999998</v>
      </c>
      <c r="F93">
        <v>-78.683800000000005</v>
      </c>
      <c r="G93">
        <v>128</v>
      </c>
      <c r="H93" t="s">
        <v>14</v>
      </c>
      <c r="I93">
        <v>399</v>
      </c>
      <c r="J93">
        <v>347</v>
      </c>
      <c r="K93">
        <v>434</v>
      </c>
      <c r="L93">
        <v>305</v>
      </c>
      <c r="M93">
        <v>352</v>
      </c>
      <c r="N93">
        <v>483</v>
      </c>
      <c r="O93">
        <v>446</v>
      </c>
      <c r="P93">
        <v>439</v>
      </c>
      <c r="Q93">
        <v>421</v>
      </c>
      <c r="R93">
        <v>354</v>
      </c>
      <c r="S93">
        <v>319</v>
      </c>
      <c r="T93">
        <v>323</v>
      </c>
      <c r="U93" t="s">
        <v>216</v>
      </c>
      <c r="V93" t="s">
        <v>217</v>
      </c>
      <c r="W93" t="s">
        <v>16</v>
      </c>
      <c r="X93" t="s">
        <v>20</v>
      </c>
      <c r="Y93">
        <v>35.729999999999997</v>
      </c>
      <c r="Z93">
        <v>-78.680000000000007</v>
      </c>
      <c r="AA93" t="s">
        <v>18</v>
      </c>
      <c r="AB93" s="5">
        <f t="shared" si="8"/>
        <v>3</v>
      </c>
    </row>
    <row r="94" spans="1:28" x14ac:dyDescent="0.3">
      <c r="A94">
        <v>2</v>
      </c>
      <c r="B94">
        <v>310241</v>
      </c>
      <c r="C94" t="s">
        <v>21</v>
      </c>
      <c r="D94" t="s">
        <v>304</v>
      </c>
      <c r="E94">
        <v>36.2911</v>
      </c>
      <c r="F94">
        <v>-77.982200000000006</v>
      </c>
      <c r="G94">
        <v>100.6</v>
      </c>
      <c r="H94" t="s">
        <v>14</v>
      </c>
      <c r="I94">
        <v>384</v>
      </c>
      <c r="J94">
        <v>325</v>
      </c>
      <c r="K94">
        <v>460</v>
      </c>
      <c r="L94">
        <v>337</v>
      </c>
      <c r="M94">
        <v>350</v>
      </c>
      <c r="N94">
        <v>456</v>
      </c>
      <c r="O94">
        <v>510</v>
      </c>
      <c r="P94">
        <v>520</v>
      </c>
      <c r="Q94">
        <v>419</v>
      </c>
      <c r="R94">
        <v>334</v>
      </c>
      <c r="S94">
        <v>330</v>
      </c>
      <c r="T94">
        <v>327</v>
      </c>
      <c r="U94" t="s">
        <v>22</v>
      </c>
      <c r="V94" t="s">
        <v>22</v>
      </c>
      <c r="W94" t="s">
        <v>16</v>
      </c>
      <c r="X94" t="s">
        <v>23</v>
      </c>
      <c r="Y94">
        <v>36.29</v>
      </c>
      <c r="Z94">
        <v>-77.98</v>
      </c>
      <c r="AA94" t="s">
        <v>18</v>
      </c>
      <c r="AB94" s="5">
        <f t="shared" si="8"/>
        <v>3</v>
      </c>
    </row>
    <row r="95" spans="1:28" x14ac:dyDescent="0.3">
      <c r="A95">
        <v>83</v>
      </c>
      <c r="B95">
        <v>316853</v>
      </c>
      <c r="C95" t="s">
        <v>209</v>
      </c>
      <c r="D95" t="s">
        <v>274</v>
      </c>
      <c r="E95">
        <v>35.872300000000003</v>
      </c>
      <c r="F95">
        <v>-76.659199999999998</v>
      </c>
      <c r="G95">
        <v>6.1</v>
      </c>
      <c r="H95" t="s">
        <v>14</v>
      </c>
      <c r="I95">
        <v>394</v>
      </c>
      <c r="J95">
        <v>330</v>
      </c>
      <c r="K95">
        <v>437</v>
      </c>
      <c r="L95">
        <v>333</v>
      </c>
      <c r="M95">
        <v>419</v>
      </c>
      <c r="N95">
        <v>519</v>
      </c>
      <c r="O95">
        <v>534</v>
      </c>
      <c r="P95">
        <v>628</v>
      </c>
      <c r="Q95">
        <v>539</v>
      </c>
      <c r="R95">
        <v>375</v>
      </c>
      <c r="S95">
        <v>353</v>
      </c>
      <c r="T95">
        <v>329</v>
      </c>
      <c r="U95" t="s">
        <v>210</v>
      </c>
      <c r="V95" t="s">
        <v>211</v>
      </c>
      <c r="W95" t="s">
        <v>16</v>
      </c>
      <c r="X95" t="s">
        <v>212</v>
      </c>
      <c r="Y95">
        <v>35.869999999999997</v>
      </c>
      <c r="Z95">
        <v>-76.66</v>
      </c>
      <c r="AA95" t="s">
        <v>18</v>
      </c>
      <c r="AB95" s="5">
        <f t="shared" si="8"/>
        <v>3</v>
      </c>
    </row>
    <row r="96" spans="1:28" x14ac:dyDescent="0.3">
      <c r="A96">
        <v>9</v>
      </c>
      <c r="B96">
        <v>310982</v>
      </c>
      <c r="C96" t="s">
        <v>44</v>
      </c>
      <c r="D96" t="s">
        <v>311</v>
      </c>
      <c r="E96">
        <v>36.211399999999998</v>
      </c>
      <c r="F96">
        <v>-81.644199999999998</v>
      </c>
      <c r="G96">
        <v>1024.0999999999999</v>
      </c>
      <c r="H96" t="s">
        <v>14</v>
      </c>
      <c r="I96">
        <v>389</v>
      </c>
      <c r="J96">
        <v>390</v>
      </c>
      <c r="K96">
        <v>466</v>
      </c>
      <c r="L96">
        <v>449</v>
      </c>
      <c r="M96">
        <v>462</v>
      </c>
      <c r="N96">
        <v>506</v>
      </c>
      <c r="O96">
        <v>473</v>
      </c>
      <c r="P96">
        <v>507</v>
      </c>
      <c r="Q96">
        <v>441</v>
      </c>
      <c r="R96">
        <v>356</v>
      </c>
      <c r="S96">
        <v>449</v>
      </c>
      <c r="T96">
        <v>378</v>
      </c>
      <c r="U96" t="s">
        <v>45</v>
      </c>
      <c r="V96" t="s">
        <v>46</v>
      </c>
      <c r="W96" t="s">
        <v>16</v>
      </c>
      <c r="X96" t="s">
        <v>43</v>
      </c>
      <c r="Y96">
        <v>36.21</v>
      </c>
      <c r="Z96">
        <v>-81.64</v>
      </c>
      <c r="AA96" t="s">
        <v>18</v>
      </c>
      <c r="AB96" s="5">
        <f t="shared" si="8"/>
        <v>1</v>
      </c>
    </row>
    <row r="97" spans="1:28" x14ac:dyDescent="0.3">
      <c r="A97">
        <v>151</v>
      </c>
      <c r="B97">
        <v>13713</v>
      </c>
      <c r="C97" t="s">
        <v>129</v>
      </c>
      <c r="D97" t="s">
        <v>338</v>
      </c>
      <c r="E97">
        <v>35.3444</v>
      </c>
      <c r="F97">
        <v>-77.964699999999993</v>
      </c>
      <c r="G97">
        <v>33.200000000000003</v>
      </c>
      <c r="H97" t="s">
        <v>14</v>
      </c>
      <c r="I97">
        <v>368</v>
      </c>
      <c r="J97">
        <v>342</v>
      </c>
      <c r="K97">
        <v>401</v>
      </c>
      <c r="L97">
        <v>334</v>
      </c>
      <c r="M97">
        <v>377</v>
      </c>
      <c r="N97">
        <v>386</v>
      </c>
      <c r="O97">
        <v>554</v>
      </c>
      <c r="P97">
        <v>588</v>
      </c>
      <c r="Q97">
        <v>600</v>
      </c>
      <c r="R97">
        <v>298</v>
      </c>
      <c r="S97">
        <v>309</v>
      </c>
      <c r="T97">
        <v>322</v>
      </c>
      <c r="U97" t="s">
        <v>19</v>
      </c>
      <c r="V97" t="s">
        <v>19</v>
      </c>
      <c r="W97" t="s">
        <v>19</v>
      </c>
      <c r="X97" t="s">
        <v>130</v>
      </c>
      <c r="Y97" t="s">
        <v>19</v>
      </c>
      <c r="Z97" t="s">
        <v>19</v>
      </c>
      <c r="AA97" t="s">
        <v>19</v>
      </c>
      <c r="AB97" s="5">
        <f t="shared" si="8"/>
        <v>3</v>
      </c>
    </row>
    <row r="98" spans="1:28" x14ac:dyDescent="0.3">
      <c r="A98">
        <v>79</v>
      </c>
      <c r="B98">
        <v>316256</v>
      </c>
      <c r="C98" t="s">
        <v>200</v>
      </c>
      <c r="D98" t="s">
        <v>360</v>
      </c>
      <c r="E98">
        <v>36.1631</v>
      </c>
      <c r="F98">
        <v>-81.1494</v>
      </c>
      <c r="G98">
        <v>341.4</v>
      </c>
      <c r="H98" t="s">
        <v>14</v>
      </c>
      <c r="I98">
        <v>409</v>
      </c>
      <c r="J98">
        <v>375</v>
      </c>
      <c r="K98">
        <v>461</v>
      </c>
      <c r="L98">
        <v>409</v>
      </c>
      <c r="M98">
        <v>411</v>
      </c>
      <c r="N98">
        <v>458</v>
      </c>
      <c r="O98">
        <v>473</v>
      </c>
      <c r="P98">
        <v>444</v>
      </c>
      <c r="Q98">
        <v>413</v>
      </c>
      <c r="R98">
        <v>358</v>
      </c>
      <c r="S98">
        <v>349</v>
      </c>
      <c r="T98">
        <v>386</v>
      </c>
      <c r="U98" t="s">
        <v>201</v>
      </c>
      <c r="V98" t="s">
        <v>201</v>
      </c>
      <c r="W98" t="s">
        <v>16</v>
      </c>
      <c r="X98" t="s">
        <v>202</v>
      </c>
      <c r="Y98">
        <v>36.159999999999997</v>
      </c>
      <c r="Z98">
        <v>-81.150000000000006</v>
      </c>
      <c r="AA98" t="s">
        <v>18</v>
      </c>
      <c r="AB98" s="5">
        <f t="shared" si="8"/>
        <v>1</v>
      </c>
    </row>
    <row r="99" spans="1:28" x14ac:dyDescent="0.3">
      <c r="A99">
        <v>120</v>
      </c>
      <c r="B99">
        <v>319476</v>
      </c>
      <c r="C99" t="s">
        <v>291</v>
      </c>
      <c r="D99" t="s">
        <v>293</v>
      </c>
      <c r="E99">
        <v>35.693890000000003</v>
      </c>
      <c r="F99">
        <v>-77.94556</v>
      </c>
      <c r="G99">
        <v>33.5</v>
      </c>
      <c r="H99" t="s">
        <v>14</v>
      </c>
      <c r="I99">
        <v>376</v>
      </c>
      <c r="J99">
        <v>314</v>
      </c>
      <c r="K99">
        <v>423</v>
      </c>
      <c r="L99">
        <v>303</v>
      </c>
      <c r="M99">
        <v>406</v>
      </c>
      <c r="N99">
        <v>410</v>
      </c>
      <c r="O99">
        <v>537</v>
      </c>
      <c r="P99">
        <v>491</v>
      </c>
      <c r="Q99">
        <v>502</v>
      </c>
      <c r="R99">
        <v>314</v>
      </c>
      <c r="S99">
        <v>299</v>
      </c>
      <c r="T99">
        <v>329</v>
      </c>
      <c r="U99" t="s">
        <v>292</v>
      </c>
      <c r="V99" t="s">
        <v>293</v>
      </c>
      <c r="W99" t="s">
        <v>16</v>
      </c>
      <c r="X99" t="s">
        <v>294</v>
      </c>
      <c r="Y99">
        <v>35.69</v>
      </c>
      <c r="Z99">
        <v>-77.95</v>
      </c>
      <c r="AA99" t="s">
        <v>18</v>
      </c>
      <c r="AB99" s="5">
        <f t="shared" si="8"/>
        <v>3</v>
      </c>
    </row>
    <row r="100" spans="1:28" x14ac:dyDescent="0.3">
      <c r="A100">
        <v>121</v>
      </c>
      <c r="B100">
        <v>319675</v>
      </c>
      <c r="C100" t="s">
        <v>296</v>
      </c>
      <c r="D100" t="s">
        <v>382</v>
      </c>
      <c r="E100">
        <v>36.130600000000001</v>
      </c>
      <c r="F100">
        <v>-80.548100000000005</v>
      </c>
      <c r="G100">
        <v>266.7</v>
      </c>
      <c r="H100" t="s">
        <v>14</v>
      </c>
      <c r="I100">
        <v>349</v>
      </c>
      <c r="J100">
        <v>331</v>
      </c>
      <c r="K100">
        <v>413</v>
      </c>
      <c r="L100">
        <v>361</v>
      </c>
      <c r="M100">
        <v>378</v>
      </c>
      <c r="N100">
        <v>416</v>
      </c>
      <c r="O100">
        <v>473</v>
      </c>
      <c r="P100">
        <v>349</v>
      </c>
      <c r="Q100">
        <v>386</v>
      </c>
      <c r="R100">
        <v>339</v>
      </c>
      <c r="S100">
        <v>314</v>
      </c>
      <c r="T100">
        <v>363</v>
      </c>
      <c r="U100" t="s">
        <v>297</v>
      </c>
      <c r="V100" t="s">
        <v>298</v>
      </c>
      <c r="W100" t="s">
        <v>16</v>
      </c>
      <c r="X100" t="s">
        <v>299</v>
      </c>
      <c r="Y100">
        <v>36.130000000000003</v>
      </c>
      <c r="Z100">
        <v>-80.55</v>
      </c>
      <c r="AA100" t="s">
        <v>18</v>
      </c>
      <c r="AB100" s="5">
        <f t="shared" si="8"/>
        <v>1.5</v>
      </c>
    </row>
    <row r="101" spans="1:28" x14ac:dyDescent="0.3">
      <c r="A101">
        <v>19</v>
      </c>
      <c r="B101">
        <v>311624</v>
      </c>
      <c r="C101" t="s">
        <v>67</v>
      </c>
      <c r="D101" t="s">
        <v>320</v>
      </c>
      <c r="E101">
        <v>35.829700000000003</v>
      </c>
      <c r="F101">
        <v>-82.176900000000003</v>
      </c>
      <c r="G101">
        <v>816.9</v>
      </c>
      <c r="H101" t="s">
        <v>14</v>
      </c>
      <c r="I101">
        <v>511</v>
      </c>
      <c r="J101">
        <v>502</v>
      </c>
      <c r="K101">
        <v>552</v>
      </c>
      <c r="L101">
        <v>450</v>
      </c>
      <c r="M101">
        <v>497</v>
      </c>
      <c r="N101">
        <v>471</v>
      </c>
      <c r="O101">
        <v>467</v>
      </c>
      <c r="P101">
        <v>532</v>
      </c>
      <c r="Q101">
        <v>499</v>
      </c>
      <c r="R101">
        <v>382</v>
      </c>
      <c r="S101">
        <v>467</v>
      </c>
      <c r="T101">
        <v>456</v>
      </c>
      <c r="U101" t="s">
        <v>68</v>
      </c>
      <c r="V101" t="s">
        <v>69</v>
      </c>
      <c r="W101" t="s">
        <v>16</v>
      </c>
      <c r="X101" t="s">
        <v>70</v>
      </c>
      <c r="Y101">
        <v>35.83</v>
      </c>
      <c r="Z101">
        <v>-82.18</v>
      </c>
      <c r="AA101" t="s">
        <v>18</v>
      </c>
      <c r="AB101" s="5">
        <f t="shared" si="8"/>
        <v>1</v>
      </c>
    </row>
  </sheetData>
  <sortState xmlns:xlrd2="http://schemas.microsoft.com/office/spreadsheetml/2017/richdata2" ref="A2:AA180">
    <sortCondition ref="D2:D180"/>
  </sortState>
  <pageMargins left="0.7" right="0.7" top="0.75" bottom="0.75" header="0.3" footer="0.3"/>
  <pageSetup scale="85" fitToHeight="0" orientation="portrait" horizontalDpi="300" verticalDpi="3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AA116"/>
  <sheetViews>
    <sheetView topLeftCell="A7" workbookViewId="0">
      <selection activeCell="D23" sqref="D23"/>
    </sheetView>
  </sheetViews>
  <sheetFormatPr defaultRowHeight="14.4" x14ac:dyDescent="0.3"/>
  <cols>
    <col min="3" max="3" width="23.44140625" customWidth="1"/>
    <col min="4" max="4" width="20.6640625" customWidth="1"/>
    <col min="8" max="8" width="15" customWidth="1"/>
    <col min="24" max="24" width="22.44140625" customWidth="1"/>
  </cols>
  <sheetData>
    <row r="1" spans="1:27" x14ac:dyDescent="0.3">
      <c r="B1" t="s">
        <v>0</v>
      </c>
      <c r="C1" t="s">
        <v>1</v>
      </c>
      <c r="D1" t="s">
        <v>9</v>
      </c>
      <c r="E1" t="s">
        <v>2</v>
      </c>
      <c r="F1" t="s">
        <v>3</v>
      </c>
      <c r="G1" t="s">
        <v>4</v>
      </c>
      <c r="H1" t="s">
        <v>5</v>
      </c>
      <c r="I1">
        <v>1</v>
      </c>
      <c r="J1">
        <v>2</v>
      </c>
      <c r="K1">
        <v>3</v>
      </c>
      <c r="L1">
        <v>4</v>
      </c>
      <c r="M1">
        <v>5</v>
      </c>
      <c r="N1">
        <v>6</v>
      </c>
      <c r="O1">
        <v>7</v>
      </c>
      <c r="P1">
        <v>8</v>
      </c>
      <c r="Q1">
        <v>9</v>
      </c>
      <c r="R1">
        <v>10</v>
      </c>
      <c r="S1">
        <v>11</v>
      </c>
      <c r="T1">
        <v>12</v>
      </c>
      <c r="U1" t="s">
        <v>6</v>
      </c>
      <c r="V1" t="s">
        <v>7</v>
      </c>
      <c r="W1" t="s">
        <v>8</v>
      </c>
      <c r="X1" t="s">
        <v>9</v>
      </c>
      <c r="Y1" t="s">
        <v>10</v>
      </c>
      <c r="Z1" t="s">
        <v>11</v>
      </c>
      <c r="AA1" t="s">
        <v>12</v>
      </c>
    </row>
    <row r="2" spans="1:27" x14ac:dyDescent="0.3">
      <c r="A2">
        <v>12</v>
      </c>
      <c r="B2">
        <v>311239</v>
      </c>
      <c r="C2" t="s">
        <v>828</v>
      </c>
      <c r="D2" t="s">
        <v>314</v>
      </c>
      <c r="E2">
        <v>36.060279999999999</v>
      </c>
      <c r="F2">
        <v>-79.448059999999998</v>
      </c>
      <c r="G2">
        <v>201.2</v>
      </c>
      <c r="H2" t="s">
        <v>823</v>
      </c>
      <c r="I2">
        <v>29</v>
      </c>
      <c r="J2">
        <v>22</v>
      </c>
      <c r="K2">
        <v>29</v>
      </c>
      <c r="L2">
        <v>24</v>
      </c>
      <c r="M2">
        <v>29</v>
      </c>
      <c r="N2">
        <v>23</v>
      </c>
      <c r="O2">
        <v>32</v>
      </c>
      <c r="P2">
        <v>27</v>
      </c>
      <c r="Q2">
        <v>24</v>
      </c>
      <c r="R2">
        <v>19</v>
      </c>
      <c r="S2">
        <v>23</v>
      </c>
      <c r="T2">
        <v>22</v>
      </c>
      <c r="U2" t="s">
        <v>829</v>
      </c>
      <c r="V2" t="s">
        <v>830</v>
      </c>
      <c r="W2" t="s">
        <v>16</v>
      </c>
      <c r="X2" t="s">
        <v>314</v>
      </c>
      <c r="Y2">
        <v>36.06</v>
      </c>
      <c r="Z2">
        <v>-79.45</v>
      </c>
      <c r="AA2" t="s">
        <v>18</v>
      </c>
    </row>
    <row r="3" spans="1:27" x14ac:dyDescent="0.3">
      <c r="D3" t="s">
        <v>373</v>
      </c>
      <c r="I3" s="11">
        <f>+I19</f>
        <v>26</v>
      </c>
      <c r="J3" s="11">
        <f t="shared" ref="J3:T3" si="0">+J19</f>
        <v>25</v>
      </c>
      <c r="K3" s="11">
        <f t="shared" si="0"/>
        <v>29</v>
      </c>
      <c r="L3" s="11">
        <f t="shared" si="0"/>
        <v>25</v>
      </c>
      <c r="M3" s="11">
        <f t="shared" si="0"/>
        <v>24</v>
      </c>
      <c r="N3" s="11">
        <f t="shared" si="0"/>
        <v>27</v>
      </c>
      <c r="O3" s="11">
        <f t="shared" si="0"/>
        <v>33</v>
      </c>
      <c r="P3" s="11">
        <f t="shared" si="0"/>
        <v>27</v>
      </c>
      <c r="Q3" s="11">
        <f t="shared" si="0"/>
        <v>24</v>
      </c>
      <c r="R3" s="11">
        <f t="shared" si="0"/>
        <v>21</v>
      </c>
      <c r="S3" s="11">
        <f t="shared" si="0"/>
        <v>23</v>
      </c>
      <c r="T3" s="11">
        <f t="shared" si="0"/>
        <v>27</v>
      </c>
    </row>
    <row r="4" spans="1:27" x14ac:dyDescent="0.3">
      <c r="D4" t="s">
        <v>708</v>
      </c>
      <c r="I4" s="11">
        <f>+I6</f>
        <v>27</v>
      </c>
      <c r="J4" s="11">
        <f t="shared" ref="J4:T4" si="1">+J6</f>
        <v>26</v>
      </c>
      <c r="K4" s="11">
        <f t="shared" si="1"/>
        <v>33</v>
      </c>
      <c r="L4" s="11">
        <f t="shared" si="1"/>
        <v>26</v>
      </c>
      <c r="M4" s="11">
        <f t="shared" si="1"/>
        <v>28</v>
      </c>
      <c r="N4" s="11">
        <f t="shared" si="1"/>
        <v>34</v>
      </c>
      <c r="O4" s="11">
        <f t="shared" si="1"/>
        <v>29</v>
      </c>
      <c r="P4" s="11">
        <f t="shared" si="1"/>
        <v>30</v>
      </c>
      <c r="Q4" s="11">
        <f t="shared" si="1"/>
        <v>31</v>
      </c>
      <c r="R4" s="11">
        <f t="shared" si="1"/>
        <v>24</v>
      </c>
      <c r="S4" s="11">
        <f t="shared" si="1"/>
        <v>29</v>
      </c>
      <c r="T4" s="11">
        <f t="shared" si="1"/>
        <v>26</v>
      </c>
    </row>
    <row r="5" spans="1:27" x14ac:dyDescent="0.3">
      <c r="A5">
        <v>111</v>
      </c>
      <c r="B5">
        <v>318964</v>
      </c>
      <c r="C5" t="s">
        <v>269</v>
      </c>
      <c r="D5" t="s">
        <v>377</v>
      </c>
      <c r="E5">
        <v>34.960299999999997</v>
      </c>
      <c r="F5">
        <v>-80.077200000000005</v>
      </c>
      <c r="G5">
        <v>146.30000000000001</v>
      </c>
      <c r="H5" t="s">
        <v>823</v>
      </c>
      <c r="I5">
        <v>27</v>
      </c>
      <c r="J5">
        <v>24</v>
      </c>
      <c r="K5">
        <v>29</v>
      </c>
      <c r="L5">
        <v>20</v>
      </c>
      <c r="M5">
        <v>23</v>
      </c>
      <c r="N5">
        <v>28</v>
      </c>
      <c r="O5">
        <v>37</v>
      </c>
      <c r="P5">
        <v>28</v>
      </c>
      <c r="Q5">
        <v>26</v>
      </c>
      <c r="R5">
        <v>21</v>
      </c>
      <c r="S5">
        <v>23</v>
      </c>
      <c r="T5">
        <v>23</v>
      </c>
      <c r="U5" t="s">
        <v>270</v>
      </c>
      <c r="V5" t="s">
        <v>270</v>
      </c>
      <c r="W5" t="s">
        <v>16</v>
      </c>
      <c r="X5" t="s">
        <v>377</v>
      </c>
      <c r="Y5">
        <v>34.96</v>
      </c>
      <c r="Z5">
        <v>-80.08</v>
      </c>
      <c r="AA5" t="s">
        <v>18</v>
      </c>
    </row>
    <row r="6" spans="1:27" x14ac:dyDescent="0.3">
      <c r="A6">
        <v>106</v>
      </c>
      <c r="B6">
        <v>318694</v>
      </c>
      <c r="C6" t="s">
        <v>259</v>
      </c>
      <c r="D6" t="s">
        <v>374</v>
      </c>
      <c r="E6">
        <v>36.3919</v>
      </c>
      <c r="F6">
        <v>-81.303899999999999</v>
      </c>
      <c r="G6">
        <v>876.3</v>
      </c>
      <c r="H6" t="s">
        <v>823</v>
      </c>
      <c r="I6">
        <v>27</v>
      </c>
      <c r="J6">
        <v>26</v>
      </c>
      <c r="K6">
        <v>33</v>
      </c>
      <c r="L6">
        <v>26</v>
      </c>
      <c r="M6">
        <v>28</v>
      </c>
      <c r="N6">
        <v>34</v>
      </c>
      <c r="O6">
        <v>29</v>
      </c>
      <c r="P6">
        <v>30</v>
      </c>
      <c r="Q6">
        <v>31</v>
      </c>
      <c r="R6">
        <v>24</v>
      </c>
      <c r="S6">
        <v>29</v>
      </c>
      <c r="T6">
        <v>26</v>
      </c>
      <c r="U6" t="s">
        <v>260</v>
      </c>
      <c r="V6" t="s">
        <v>261</v>
      </c>
      <c r="W6" t="s">
        <v>16</v>
      </c>
      <c r="X6" t="s">
        <v>374</v>
      </c>
      <c r="Y6">
        <v>36.39</v>
      </c>
      <c r="Z6">
        <v>-81.3</v>
      </c>
      <c r="AA6" t="s">
        <v>18</v>
      </c>
    </row>
    <row r="7" spans="1:27" x14ac:dyDescent="0.3">
      <c r="A7">
        <v>5</v>
      </c>
      <c r="B7">
        <v>310506</v>
      </c>
      <c r="C7" t="s">
        <v>35</v>
      </c>
      <c r="D7" t="s">
        <v>309</v>
      </c>
      <c r="E7">
        <v>36.1616</v>
      </c>
      <c r="F7">
        <v>-81.874099999999999</v>
      </c>
      <c r="G7">
        <v>1149.0999999999999</v>
      </c>
      <c r="H7" t="s">
        <v>823</v>
      </c>
      <c r="I7">
        <v>27</v>
      </c>
      <c r="J7">
        <v>27</v>
      </c>
      <c r="K7">
        <v>25</v>
      </c>
      <c r="L7">
        <v>28</v>
      </c>
      <c r="M7">
        <v>30</v>
      </c>
      <c r="N7">
        <v>36</v>
      </c>
      <c r="O7">
        <v>36</v>
      </c>
      <c r="P7">
        <v>33</v>
      </c>
      <c r="Q7">
        <v>27</v>
      </c>
      <c r="R7">
        <v>20</v>
      </c>
      <c r="S7">
        <v>19</v>
      </c>
      <c r="T7">
        <v>22</v>
      </c>
      <c r="U7" t="s">
        <v>36</v>
      </c>
      <c r="V7" t="s">
        <v>36</v>
      </c>
      <c r="W7" t="s">
        <v>16</v>
      </c>
      <c r="X7" t="s">
        <v>309</v>
      </c>
      <c r="Y7">
        <v>36.159999999999997</v>
      </c>
      <c r="Z7">
        <v>-81.87</v>
      </c>
      <c r="AA7" t="s">
        <v>18</v>
      </c>
    </row>
    <row r="8" spans="1:27" x14ac:dyDescent="0.3">
      <c r="A8">
        <v>4</v>
      </c>
      <c r="B8">
        <v>310375</v>
      </c>
      <c r="C8" t="s">
        <v>31</v>
      </c>
      <c r="D8" t="s">
        <v>308</v>
      </c>
      <c r="E8">
        <v>35.3872</v>
      </c>
      <c r="F8">
        <v>-76.776300000000006</v>
      </c>
      <c r="G8">
        <v>6.1</v>
      </c>
      <c r="H8" t="s">
        <v>823</v>
      </c>
      <c r="I8">
        <v>28</v>
      </c>
      <c r="J8">
        <v>22</v>
      </c>
      <c r="K8">
        <v>28</v>
      </c>
      <c r="L8">
        <v>19</v>
      </c>
      <c r="M8">
        <v>24</v>
      </c>
      <c r="N8">
        <v>35</v>
      </c>
      <c r="O8">
        <v>41</v>
      </c>
      <c r="P8">
        <v>41</v>
      </c>
      <c r="Q8">
        <v>27</v>
      </c>
      <c r="R8">
        <v>19</v>
      </c>
      <c r="S8">
        <v>19</v>
      </c>
      <c r="T8">
        <v>22</v>
      </c>
      <c r="U8" t="s">
        <v>32</v>
      </c>
      <c r="V8" t="s">
        <v>33</v>
      </c>
      <c r="W8" t="s">
        <v>16</v>
      </c>
      <c r="X8" t="s">
        <v>308</v>
      </c>
      <c r="Y8">
        <v>35.39</v>
      </c>
      <c r="Z8">
        <v>-76.78</v>
      </c>
      <c r="AA8" t="s">
        <v>18</v>
      </c>
    </row>
    <row r="9" spans="1:27" x14ac:dyDescent="0.3">
      <c r="A9">
        <v>61</v>
      </c>
      <c r="B9">
        <v>314962</v>
      </c>
      <c r="C9" t="s">
        <v>166</v>
      </c>
      <c r="D9" t="s">
        <v>350</v>
      </c>
      <c r="E9">
        <v>36.1325</v>
      </c>
      <c r="F9">
        <v>-77.1708</v>
      </c>
      <c r="G9">
        <v>15.2</v>
      </c>
      <c r="H9" t="s">
        <v>823</v>
      </c>
      <c r="I9">
        <v>23</v>
      </c>
      <c r="J9">
        <v>23</v>
      </c>
      <c r="K9">
        <v>27</v>
      </c>
      <c r="L9">
        <v>21</v>
      </c>
      <c r="M9">
        <v>23</v>
      </c>
      <c r="N9">
        <v>26</v>
      </c>
      <c r="O9">
        <v>38</v>
      </c>
      <c r="P9">
        <v>36</v>
      </c>
      <c r="Q9">
        <v>30</v>
      </c>
      <c r="R9">
        <v>19</v>
      </c>
      <c r="S9">
        <v>23</v>
      </c>
      <c r="T9">
        <v>25</v>
      </c>
      <c r="U9" t="s">
        <v>167</v>
      </c>
      <c r="V9" t="s">
        <v>167</v>
      </c>
      <c r="W9" t="s">
        <v>16</v>
      </c>
      <c r="X9" t="s">
        <v>350</v>
      </c>
      <c r="Y9">
        <v>36.130000000000003</v>
      </c>
      <c r="Z9">
        <v>-77.17</v>
      </c>
      <c r="AA9" t="s">
        <v>18</v>
      </c>
    </row>
    <row r="10" spans="1:27" x14ac:dyDescent="0.3">
      <c r="D10" t="s">
        <v>881</v>
      </c>
      <c r="I10" s="11">
        <v>28</v>
      </c>
      <c r="J10" s="11">
        <v>25</v>
      </c>
      <c r="K10" s="11">
        <v>29</v>
      </c>
      <c r="L10" s="11">
        <v>24</v>
      </c>
      <c r="M10" s="11">
        <v>28</v>
      </c>
      <c r="N10" s="11">
        <v>34</v>
      </c>
      <c r="O10" s="11">
        <v>43</v>
      </c>
      <c r="P10" s="11">
        <v>40</v>
      </c>
      <c r="Q10" s="11">
        <v>35</v>
      </c>
      <c r="R10" s="11">
        <v>20</v>
      </c>
      <c r="S10" s="11">
        <v>19</v>
      </c>
      <c r="T10" s="11">
        <v>21</v>
      </c>
    </row>
    <row r="11" spans="1:27" x14ac:dyDescent="0.3">
      <c r="A11">
        <v>64</v>
      </c>
      <c r="B11">
        <v>315116</v>
      </c>
      <c r="C11" t="s">
        <v>860</v>
      </c>
      <c r="D11" t="s">
        <v>880</v>
      </c>
      <c r="E11">
        <v>34.010199999999998</v>
      </c>
      <c r="F11">
        <v>-78.545000000000002</v>
      </c>
      <c r="G11">
        <v>12.2</v>
      </c>
      <c r="H11" t="s">
        <v>823</v>
      </c>
      <c r="I11">
        <v>29</v>
      </c>
      <c r="J11">
        <v>21</v>
      </c>
      <c r="K11">
        <v>27</v>
      </c>
      <c r="L11">
        <v>21</v>
      </c>
      <c r="M11">
        <v>24</v>
      </c>
      <c r="N11">
        <v>35</v>
      </c>
      <c r="O11">
        <v>35</v>
      </c>
      <c r="P11">
        <v>43</v>
      </c>
      <c r="Q11">
        <v>33</v>
      </c>
      <c r="R11">
        <v>24</v>
      </c>
      <c r="S11">
        <v>22</v>
      </c>
      <c r="T11">
        <v>24</v>
      </c>
      <c r="U11" t="s">
        <v>861</v>
      </c>
      <c r="V11" t="s">
        <v>861</v>
      </c>
      <c r="W11" t="s">
        <v>16</v>
      </c>
      <c r="X11" t="s">
        <v>880</v>
      </c>
      <c r="Y11">
        <v>34.01</v>
      </c>
      <c r="Z11">
        <v>-78.55</v>
      </c>
      <c r="AA11" t="s">
        <v>18</v>
      </c>
    </row>
    <row r="12" spans="1:27" x14ac:dyDescent="0.3">
      <c r="A12">
        <v>7</v>
      </c>
      <c r="B12">
        <v>310724</v>
      </c>
      <c r="C12" t="s">
        <v>825</v>
      </c>
      <c r="D12" t="s">
        <v>306</v>
      </c>
      <c r="E12">
        <v>35.504399999999997</v>
      </c>
      <c r="F12">
        <v>-82.596599999999995</v>
      </c>
      <c r="G12">
        <v>643.1</v>
      </c>
      <c r="H12" t="s">
        <v>823</v>
      </c>
      <c r="I12">
        <v>23</v>
      </c>
      <c r="J12">
        <v>25</v>
      </c>
      <c r="K12">
        <v>28</v>
      </c>
      <c r="L12">
        <v>25</v>
      </c>
      <c r="M12">
        <v>25</v>
      </c>
      <c r="N12">
        <v>30</v>
      </c>
      <c r="O12">
        <v>34</v>
      </c>
      <c r="P12">
        <v>23</v>
      </c>
      <c r="Q12">
        <v>28</v>
      </c>
      <c r="R12">
        <v>18</v>
      </c>
      <c r="S12">
        <v>29</v>
      </c>
      <c r="T12">
        <v>23</v>
      </c>
      <c r="U12" t="s">
        <v>826</v>
      </c>
      <c r="V12" t="s">
        <v>827</v>
      </c>
      <c r="W12" t="s">
        <v>16</v>
      </c>
      <c r="X12" t="s">
        <v>306</v>
      </c>
      <c r="Y12">
        <v>35.5</v>
      </c>
      <c r="Z12">
        <v>-82.6</v>
      </c>
      <c r="AA12" t="s">
        <v>18</v>
      </c>
    </row>
    <row r="13" spans="1:27" x14ac:dyDescent="0.3">
      <c r="A13">
        <v>11</v>
      </c>
      <c r="B13">
        <v>311081</v>
      </c>
      <c r="C13" t="s">
        <v>50</v>
      </c>
      <c r="D13" t="s">
        <v>313</v>
      </c>
      <c r="E13">
        <v>35.7425</v>
      </c>
      <c r="F13">
        <v>-81.837199999999996</v>
      </c>
      <c r="G13">
        <v>350.5</v>
      </c>
      <c r="H13" t="s">
        <v>823</v>
      </c>
      <c r="I13">
        <v>28</v>
      </c>
      <c r="J13">
        <v>27</v>
      </c>
      <c r="K13">
        <v>26</v>
      </c>
      <c r="L13">
        <v>26</v>
      </c>
      <c r="M13">
        <v>26</v>
      </c>
      <c r="N13">
        <v>31</v>
      </c>
      <c r="O13">
        <v>30</v>
      </c>
      <c r="P13">
        <v>28</v>
      </c>
      <c r="Q13">
        <v>27</v>
      </c>
      <c r="R13">
        <v>21</v>
      </c>
      <c r="S13">
        <v>25</v>
      </c>
      <c r="T13">
        <v>26</v>
      </c>
      <c r="U13" t="s">
        <v>51</v>
      </c>
      <c r="V13" t="s">
        <v>52</v>
      </c>
      <c r="W13" t="s">
        <v>16</v>
      </c>
      <c r="X13" t="s">
        <v>313</v>
      </c>
      <c r="Y13">
        <v>35.74</v>
      </c>
      <c r="Z13">
        <v>-81.84</v>
      </c>
      <c r="AA13" t="s">
        <v>18</v>
      </c>
    </row>
    <row r="14" spans="1:27" x14ac:dyDescent="0.3">
      <c r="A14">
        <v>23</v>
      </c>
      <c r="B14">
        <v>311975</v>
      </c>
      <c r="C14" t="s">
        <v>83</v>
      </c>
      <c r="D14" t="s">
        <v>325</v>
      </c>
      <c r="E14">
        <v>35.4163</v>
      </c>
      <c r="F14">
        <v>-80.600499999999997</v>
      </c>
      <c r="G14">
        <v>210.3</v>
      </c>
      <c r="H14" t="s">
        <v>823</v>
      </c>
      <c r="I14">
        <v>25</v>
      </c>
      <c r="J14">
        <v>25</v>
      </c>
      <c r="K14">
        <v>28</v>
      </c>
      <c r="L14">
        <v>24</v>
      </c>
      <c r="M14">
        <v>23</v>
      </c>
      <c r="N14">
        <v>29</v>
      </c>
      <c r="O14">
        <v>31</v>
      </c>
      <c r="P14">
        <v>26</v>
      </c>
      <c r="Q14">
        <v>20</v>
      </c>
      <c r="R14">
        <v>23</v>
      </c>
      <c r="S14">
        <v>23</v>
      </c>
      <c r="T14">
        <v>22</v>
      </c>
      <c r="U14" t="s">
        <v>84</v>
      </c>
      <c r="V14" t="s">
        <v>84</v>
      </c>
      <c r="W14" t="s">
        <v>16</v>
      </c>
      <c r="X14" t="s">
        <v>325</v>
      </c>
      <c r="Y14">
        <v>35.42</v>
      </c>
      <c r="Z14">
        <v>-80.599999999999994</v>
      </c>
      <c r="AA14" t="s">
        <v>18</v>
      </c>
    </row>
    <row r="15" spans="1:27" x14ac:dyDescent="0.3">
      <c r="A15">
        <v>60</v>
      </c>
      <c r="B15">
        <v>314938</v>
      </c>
      <c r="C15" t="s">
        <v>163</v>
      </c>
      <c r="D15" t="s">
        <v>349</v>
      </c>
      <c r="E15">
        <v>35.914999999999999</v>
      </c>
      <c r="F15">
        <v>-81.537700000000001</v>
      </c>
      <c r="G15">
        <v>365.8</v>
      </c>
      <c r="H15" t="s">
        <v>823</v>
      </c>
      <c r="I15">
        <v>24</v>
      </c>
      <c r="J15">
        <v>28</v>
      </c>
      <c r="K15">
        <v>32</v>
      </c>
      <c r="L15">
        <v>28</v>
      </c>
      <c r="M15">
        <v>28</v>
      </c>
      <c r="N15">
        <v>31</v>
      </c>
      <c r="O15">
        <v>29</v>
      </c>
      <c r="P15">
        <v>28</v>
      </c>
      <c r="Q15">
        <v>31</v>
      </c>
      <c r="R15">
        <v>23</v>
      </c>
      <c r="S15">
        <v>26</v>
      </c>
      <c r="T15">
        <v>26</v>
      </c>
      <c r="U15" t="s">
        <v>164</v>
      </c>
      <c r="V15" t="s">
        <v>164</v>
      </c>
      <c r="W15" t="s">
        <v>16</v>
      </c>
      <c r="X15" t="s">
        <v>349</v>
      </c>
      <c r="Y15">
        <v>35.92</v>
      </c>
      <c r="Z15">
        <v>-81.540000000000006</v>
      </c>
      <c r="AA15" t="s">
        <v>18</v>
      </c>
    </row>
    <row r="16" spans="1:27" x14ac:dyDescent="0.3">
      <c r="D16" t="s">
        <v>712</v>
      </c>
      <c r="I16" s="11">
        <f>+I86</f>
        <v>27</v>
      </c>
      <c r="J16" s="11">
        <f t="shared" ref="J16:T16" si="2">+J86</f>
        <v>23</v>
      </c>
      <c r="K16" s="11">
        <f t="shared" si="2"/>
        <v>26</v>
      </c>
      <c r="L16" s="11">
        <f t="shared" si="2"/>
        <v>20</v>
      </c>
      <c r="M16" s="11">
        <f t="shared" si="2"/>
        <v>26</v>
      </c>
      <c r="N16" s="11">
        <f t="shared" si="2"/>
        <v>31</v>
      </c>
      <c r="O16" s="11">
        <f t="shared" si="2"/>
        <v>36</v>
      </c>
      <c r="P16" s="11">
        <f t="shared" si="2"/>
        <v>39</v>
      </c>
      <c r="Q16" s="11">
        <f t="shared" si="2"/>
        <v>29</v>
      </c>
      <c r="R16" s="11">
        <f t="shared" si="2"/>
        <v>20</v>
      </c>
      <c r="S16" s="11">
        <f t="shared" si="2"/>
        <v>24</v>
      </c>
      <c r="T16" s="11">
        <f t="shared" si="2"/>
        <v>24</v>
      </c>
    </row>
    <row r="17" spans="1:27" x14ac:dyDescent="0.3">
      <c r="A17">
        <v>71</v>
      </c>
      <c r="B17">
        <v>315830</v>
      </c>
      <c r="C17" t="s">
        <v>867</v>
      </c>
      <c r="D17" t="s">
        <v>307</v>
      </c>
      <c r="E17">
        <v>34.733600000000003</v>
      </c>
      <c r="F17">
        <v>-76.735699999999994</v>
      </c>
      <c r="G17">
        <v>3</v>
      </c>
      <c r="H17" t="s">
        <v>823</v>
      </c>
      <c r="I17">
        <v>33</v>
      </c>
      <c r="J17">
        <v>26</v>
      </c>
      <c r="K17">
        <v>31</v>
      </c>
      <c r="L17">
        <v>21</v>
      </c>
      <c r="M17">
        <v>28</v>
      </c>
      <c r="N17">
        <v>30</v>
      </c>
      <c r="O17">
        <v>42</v>
      </c>
      <c r="P17">
        <v>46</v>
      </c>
      <c r="Q17">
        <v>40</v>
      </c>
      <c r="R17">
        <v>24</v>
      </c>
      <c r="S17">
        <v>30</v>
      </c>
      <c r="T17">
        <v>32</v>
      </c>
      <c r="U17" t="s">
        <v>868</v>
      </c>
      <c r="V17" t="s">
        <v>869</v>
      </c>
      <c r="W17" t="s">
        <v>16</v>
      </c>
      <c r="X17" t="s">
        <v>307</v>
      </c>
      <c r="Y17">
        <v>34.729999999999997</v>
      </c>
      <c r="Z17">
        <v>-76.739999999999995</v>
      </c>
      <c r="AA17" t="s">
        <v>18</v>
      </c>
    </row>
    <row r="18" spans="1:27" x14ac:dyDescent="0.3">
      <c r="A18">
        <v>187</v>
      </c>
      <c r="B18">
        <v>319704</v>
      </c>
      <c r="C18" t="s">
        <v>300</v>
      </c>
      <c r="D18" t="s">
        <v>383</v>
      </c>
      <c r="E18">
        <v>36.378300000000003</v>
      </c>
      <c r="F18">
        <v>-79.254400000000004</v>
      </c>
      <c r="G18">
        <v>199.6</v>
      </c>
      <c r="H18" t="s">
        <v>823</v>
      </c>
      <c r="I18">
        <v>25</v>
      </c>
      <c r="J18">
        <v>19</v>
      </c>
      <c r="K18">
        <v>31</v>
      </c>
      <c r="L18">
        <v>30</v>
      </c>
      <c r="M18">
        <v>22</v>
      </c>
      <c r="N18">
        <v>24</v>
      </c>
      <c r="O18">
        <v>29</v>
      </c>
      <c r="P18">
        <v>24</v>
      </c>
      <c r="Q18">
        <v>30</v>
      </c>
      <c r="R18">
        <v>21</v>
      </c>
      <c r="S18">
        <v>25</v>
      </c>
      <c r="T18">
        <v>29</v>
      </c>
      <c r="U18" t="s">
        <v>19</v>
      </c>
      <c r="V18" t="s">
        <v>19</v>
      </c>
      <c r="W18" t="s">
        <v>19</v>
      </c>
      <c r="X18" t="s">
        <v>19</v>
      </c>
      <c r="Y18" t="s">
        <v>19</v>
      </c>
      <c r="Z18" t="s">
        <v>19</v>
      </c>
      <c r="AA18" t="s">
        <v>19</v>
      </c>
    </row>
    <row r="19" spans="1:27" x14ac:dyDescent="0.3">
      <c r="A19">
        <v>175</v>
      </c>
      <c r="B19">
        <v>3810</v>
      </c>
      <c r="C19" t="s">
        <v>143</v>
      </c>
      <c r="D19" t="s">
        <v>883</v>
      </c>
      <c r="E19">
        <v>35.7425</v>
      </c>
      <c r="F19">
        <v>-81.381900000000002</v>
      </c>
      <c r="G19">
        <v>348.4</v>
      </c>
      <c r="H19" t="s">
        <v>823</v>
      </c>
      <c r="I19">
        <v>26</v>
      </c>
      <c r="J19">
        <v>25</v>
      </c>
      <c r="K19">
        <v>29</v>
      </c>
      <c r="L19">
        <v>25</v>
      </c>
      <c r="M19">
        <v>24</v>
      </c>
      <c r="N19">
        <v>27</v>
      </c>
      <c r="O19">
        <v>33</v>
      </c>
      <c r="P19">
        <v>27</v>
      </c>
      <c r="Q19">
        <v>24</v>
      </c>
      <c r="R19">
        <v>21</v>
      </c>
      <c r="S19">
        <v>23</v>
      </c>
      <c r="T19">
        <v>27</v>
      </c>
      <c r="U19" t="s">
        <v>19</v>
      </c>
      <c r="V19" t="s">
        <v>19</v>
      </c>
      <c r="W19" t="s">
        <v>19</v>
      </c>
      <c r="X19" t="s">
        <v>19</v>
      </c>
      <c r="Y19" t="s">
        <v>19</v>
      </c>
      <c r="Z19" t="s">
        <v>19</v>
      </c>
      <c r="AA19" t="s">
        <v>19</v>
      </c>
    </row>
    <row r="20" spans="1:27" x14ac:dyDescent="0.3">
      <c r="A20">
        <v>99</v>
      </c>
      <c r="B20">
        <v>317924</v>
      </c>
      <c r="C20" t="s">
        <v>247</v>
      </c>
      <c r="D20" t="s">
        <v>370</v>
      </c>
      <c r="E20">
        <v>35.760599999999997</v>
      </c>
      <c r="F20">
        <v>-79.462199999999996</v>
      </c>
      <c r="G20">
        <v>185.9</v>
      </c>
      <c r="H20" t="s">
        <v>823</v>
      </c>
      <c r="I20">
        <v>24</v>
      </c>
      <c r="J20">
        <v>24</v>
      </c>
      <c r="K20">
        <v>31</v>
      </c>
      <c r="L20">
        <v>23</v>
      </c>
      <c r="M20">
        <v>27</v>
      </c>
      <c r="N20">
        <v>26</v>
      </c>
      <c r="O20">
        <v>29</v>
      </c>
      <c r="P20">
        <v>26</v>
      </c>
      <c r="Q20">
        <v>24</v>
      </c>
      <c r="R20">
        <v>24</v>
      </c>
      <c r="S20">
        <v>26</v>
      </c>
      <c r="T20">
        <v>22</v>
      </c>
      <c r="U20" t="s">
        <v>248</v>
      </c>
      <c r="V20" t="s">
        <v>249</v>
      </c>
      <c r="W20" t="s">
        <v>16</v>
      </c>
      <c r="X20" t="s">
        <v>370</v>
      </c>
      <c r="Y20">
        <v>35.76</v>
      </c>
      <c r="Z20">
        <v>-79.459999999999994</v>
      </c>
      <c r="AA20" t="s">
        <v>18</v>
      </c>
    </row>
    <row r="21" spans="1:27" x14ac:dyDescent="0.3">
      <c r="A21">
        <v>77</v>
      </c>
      <c r="B21">
        <v>316001</v>
      </c>
      <c r="C21" t="s">
        <v>195</v>
      </c>
      <c r="D21" t="s">
        <v>358</v>
      </c>
      <c r="E21">
        <v>35.096110000000003</v>
      </c>
      <c r="F21">
        <v>-84.023889999999994</v>
      </c>
      <c r="G21">
        <v>480.4</v>
      </c>
      <c r="H21" t="s">
        <v>823</v>
      </c>
      <c r="I21">
        <v>42</v>
      </c>
      <c r="J21">
        <v>37</v>
      </c>
      <c r="K21">
        <v>37</v>
      </c>
      <c r="L21">
        <v>35</v>
      </c>
      <c r="M21">
        <v>33</v>
      </c>
      <c r="N21">
        <v>38</v>
      </c>
      <c r="O21">
        <v>35</v>
      </c>
      <c r="P21">
        <v>32</v>
      </c>
      <c r="Q21">
        <v>31</v>
      </c>
      <c r="R21">
        <v>25</v>
      </c>
      <c r="S21">
        <v>35</v>
      </c>
      <c r="T21">
        <v>37</v>
      </c>
      <c r="U21" t="s">
        <v>196</v>
      </c>
      <c r="V21" t="s">
        <v>196</v>
      </c>
      <c r="W21" t="s">
        <v>16</v>
      </c>
      <c r="X21" t="s">
        <v>358</v>
      </c>
      <c r="Y21">
        <v>35.1</v>
      </c>
      <c r="Z21">
        <v>-84.02</v>
      </c>
      <c r="AA21" t="s">
        <v>18</v>
      </c>
    </row>
    <row r="22" spans="1:27" x14ac:dyDescent="0.3">
      <c r="A22">
        <v>31</v>
      </c>
      <c r="B22">
        <v>312635</v>
      </c>
      <c r="C22" t="s">
        <v>105</v>
      </c>
      <c r="D22" t="s">
        <v>331</v>
      </c>
      <c r="E22">
        <v>36.016390000000001</v>
      </c>
      <c r="F22">
        <v>-76.551670000000001</v>
      </c>
      <c r="G22">
        <v>3</v>
      </c>
      <c r="H22" t="s">
        <v>823</v>
      </c>
      <c r="I22">
        <v>26</v>
      </c>
      <c r="J22">
        <v>23</v>
      </c>
      <c r="K22">
        <v>27</v>
      </c>
      <c r="L22">
        <v>22</v>
      </c>
      <c r="M22">
        <v>26</v>
      </c>
      <c r="N22">
        <v>30</v>
      </c>
      <c r="O22">
        <v>41</v>
      </c>
      <c r="P22">
        <v>39</v>
      </c>
      <c r="Q22">
        <v>30</v>
      </c>
      <c r="R22">
        <v>18</v>
      </c>
      <c r="S22">
        <v>24</v>
      </c>
      <c r="T22">
        <v>21</v>
      </c>
      <c r="U22" t="s">
        <v>106</v>
      </c>
      <c r="V22" t="s">
        <v>106</v>
      </c>
      <c r="W22" t="s">
        <v>16</v>
      </c>
      <c r="X22" t="s">
        <v>331</v>
      </c>
      <c r="Y22">
        <v>36.020000000000003</v>
      </c>
      <c r="Z22">
        <v>-76.55</v>
      </c>
      <c r="AA22" t="s">
        <v>18</v>
      </c>
    </row>
    <row r="23" spans="1:27" x14ac:dyDescent="0.3">
      <c r="D23" t="s">
        <v>342</v>
      </c>
      <c r="I23" s="11">
        <f>+I21</f>
        <v>42</v>
      </c>
      <c r="J23" s="11">
        <f t="shared" ref="J23:T23" si="3">+J21</f>
        <v>37</v>
      </c>
      <c r="K23" s="11">
        <f t="shared" si="3"/>
        <v>37</v>
      </c>
      <c r="L23" s="11">
        <f t="shared" si="3"/>
        <v>35</v>
      </c>
      <c r="M23" s="11">
        <f t="shared" si="3"/>
        <v>33</v>
      </c>
      <c r="N23" s="11">
        <f t="shared" si="3"/>
        <v>38</v>
      </c>
      <c r="O23" s="11">
        <f t="shared" si="3"/>
        <v>35</v>
      </c>
      <c r="P23" s="11">
        <f t="shared" si="3"/>
        <v>32</v>
      </c>
      <c r="Q23" s="11">
        <f t="shared" si="3"/>
        <v>31</v>
      </c>
      <c r="R23" s="11">
        <f t="shared" si="3"/>
        <v>25</v>
      </c>
      <c r="S23" s="11">
        <f t="shared" si="3"/>
        <v>35</v>
      </c>
      <c r="T23" s="11">
        <f t="shared" si="3"/>
        <v>37</v>
      </c>
    </row>
    <row r="24" spans="1:27" x14ac:dyDescent="0.3">
      <c r="A24">
        <v>98</v>
      </c>
      <c r="B24">
        <v>317845</v>
      </c>
      <c r="C24" t="s">
        <v>244</v>
      </c>
      <c r="D24" t="s">
        <v>318</v>
      </c>
      <c r="E24">
        <v>35.314399999999999</v>
      </c>
      <c r="F24">
        <v>-81.533600000000007</v>
      </c>
      <c r="G24">
        <v>280.39999999999998</v>
      </c>
      <c r="H24" t="s">
        <v>823</v>
      </c>
      <c r="I24">
        <v>29</v>
      </c>
      <c r="J24">
        <v>27</v>
      </c>
      <c r="K24">
        <v>34</v>
      </c>
      <c r="L24">
        <v>27</v>
      </c>
      <c r="M24">
        <v>27</v>
      </c>
      <c r="N24">
        <v>27</v>
      </c>
      <c r="O24">
        <v>26</v>
      </c>
      <c r="P24">
        <v>26</v>
      </c>
      <c r="Q24">
        <v>23</v>
      </c>
      <c r="R24">
        <v>23</v>
      </c>
      <c r="S24">
        <v>27</v>
      </c>
      <c r="T24">
        <v>30</v>
      </c>
      <c r="U24" t="s">
        <v>245</v>
      </c>
      <c r="V24" t="s">
        <v>246</v>
      </c>
      <c r="W24" t="s">
        <v>16</v>
      </c>
      <c r="X24" t="s">
        <v>318</v>
      </c>
      <c r="Y24">
        <v>35.31</v>
      </c>
      <c r="Z24">
        <v>-81.53</v>
      </c>
      <c r="AA24" t="s">
        <v>18</v>
      </c>
    </row>
    <row r="25" spans="1:27" x14ac:dyDescent="0.3">
      <c r="A25">
        <v>116</v>
      </c>
      <c r="B25">
        <v>319357</v>
      </c>
      <c r="C25" t="s">
        <v>279</v>
      </c>
      <c r="D25" t="s">
        <v>379</v>
      </c>
      <c r="E25">
        <v>34.409399999999998</v>
      </c>
      <c r="F25">
        <v>-78.791300000000007</v>
      </c>
      <c r="G25">
        <v>27.4</v>
      </c>
      <c r="H25" t="s">
        <v>823</v>
      </c>
      <c r="I25">
        <v>27</v>
      </c>
      <c r="J25">
        <v>23</v>
      </c>
      <c r="K25">
        <v>25</v>
      </c>
      <c r="L25">
        <v>22</v>
      </c>
      <c r="M25">
        <v>27</v>
      </c>
      <c r="N25">
        <v>30</v>
      </c>
      <c r="O25">
        <v>37</v>
      </c>
      <c r="P25">
        <v>40</v>
      </c>
      <c r="Q25">
        <v>28</v>
      </c>
      <c r="R25">
        <v>19</v>
      </c>
      <c r="S25">
        <v>20</v>
      </c>
      <c r="T25">
        <v>21</v>
      </c>
      <c r="U25" t="s">
        <v>280</v>
      </c>
      <c r="V25" t="s">
        <v>281</v>
      </c>
      <c r="W25" t="s">
        <v>16</v>
      </c>
      <c r="X25" t="s">
        <v>379</v>
      </c>
      <c r="Y25">
        <v>34.409999999999997</v>
      </c>
      <c r="Z25">
        <v>-78.790000000000006</v>
      </c>
      <c r="AA25" t="s">
        <v>18</v>
      </c>
    </row>
    <row r="26" spans="1:27" x14ac:dyDescent="0.3">
      <c r="A26">
        <v>160</v>
      </c>
      <c r="B26">
        <v>93719</v>
      </c>
      <c r="C26" t="s">
        <v>198</v>
      </c>
      <c r="D26" t="s">
        <v>359</v>
      </c>
      <c r="E26">
        <v>35.067700000000002</v>
      </c>
      <c r="F26">
        <v>-77.048000000000002</v>
      </c>
      <c r="G26">
        <v>5.8</v>
      </c>
      <c r="H26" t="s">
        <v>823</v>
      </c>
      <c r="I26">
        <v>28</v>
      </c>
      <c r="J26">
        <v>26</v>
      </c>
      <c r="K26">
        <v>30</v>
      </c>
      <c r="L26">
        <v>22</v>
      </c>
      <c r="M26">
        <v>28</v>
      </c>
      <c r="N26">
        <v>31</v>
      </c>
      <c r="O26">
        <v>46</v>
      </c>
      <c r="P26">
        <v>43</v>
      </c>
      <c r="Q26">
        <v>29</v>
      </c>
      <c r="R26">
        <v>21</v>
      </c>
      <c r="S26">
        <v>20</v>
      </c>
      <c r="T26">
        <v>22</v>
      </c>
      <c r="U26" t="s">
        <v>19</v>
      </c>
      <c r="V26" t="s">
        <v>19</v>
      </c>
      <c r="W26" t="s">
        <v>19</v>
      </c>
      <c r="X26" t="s">
        <v>19</v>
      </c>
      <c r="Y26" t="s">
        <v>19</v>
      </c>
      <c r="Z26" t="s">
        <v>19</v>
      </c>
      <c r="AA26" t="s">
        <v>19</v>
      </c>
    </row>
    <row r="27" spans="1:27" x14ac:dyDescent="0.3">
      <c r="A27">
        <v>37</v>
      </c>
      <c r="B27">
        <v>313017</v>
      </c>
      <c r="C27" t="s">
        <v>843</v>
      </c>
      <c r="D27" t="s">
        <v>335</v>
      </c>
      <c r="E27">
        <v>35.058300000000003</v>
      </c>
      <c r="F27">
        <v>-78.8583</v>
      </c>
      <c r="G27">
        <v>29.3</v>
      </c>
      <c r="H27" t="s">
        <v>823</v>
      </c>
      <c r="I27">
        <v>26</v>
      </c>
      <c r="J27">
        <v>23</v>
      </c>
      <c r="K27">
        <v>25</v>
      </c>
      <c r="L27">
        <v>22</v>
      </c>
      <c r="M27">
        <v>21</v>
      </c>
      <c r="N27">
        <v>31</v>
      </c>
      <c r="O27">
        <v>36</v>
      </c>
      <c r="P27">
        <v>37</v>
      </c>
      <c r="Q27">
        <v>26</v>
      </c>
      <c r="R27">
        <v>19</v>
      </c>
      <c r="S27">
        <v>21</v>
      </c>
      <c r="T27">
        <v>22</v>
      </c>
      <c r="U27" t="s">
        <v>844</v>
      </c>
      <c r="V27" t="s">
        <v>845</v>
      </c>
      <c r="W27" t="s">
        <v>16</v>
      </c>
      <c r="X27" t="s">
        <v>335</v>
      </c>
      <c r="Y27">
        <v>35.06</v>
      </c>
      <c r="Z27">
        <v>-78.86</v>
      </c>
      <c r="AA27" t="s">
        <v>18</v>
      </c>
    </row>
    <row r="28" spans="1:27" x14ac:dyDescent="0.3">
      <c r="D28" t="s">
        <v>713</v>
      </c>
      <c r="I28" s="11">
        <f>+I86</f>
        <v>27</v>
      </c>
      <c r="J28" s="11">
        <f t="shared" ref="J28:T28" si="4">+J86</f>
        <v>23</v>
      </c>
      <c r="K28" s="11">
        <f t="shared" si="4"/>
        <v>26</v>
      </c>
      <c r="L28" s="11">
        <f t="shared" si="4"/>
        <v>20</v>
      </c>
      <c r="M28" s="11">
        <f t="shared" si="4"/>
        <v>26</v>
      </c>
      <c r="N28" s="11">
        <f t="shared" si="4"/>
        <v>31</v>
      </c>
      <c r="O28" s="11">
        <f t="shared" si="4"/>
        <v>36</v>
      </c>
      <c r="P28" s="11">
        <f t="shared" si="4"/>
        <v>39</v>
      </c>
      <c r="Q28" s="11">
        <f t="shared" si="4"/>
        <v>29</v>
      </c>
      <c r="R28" s="11">
        <f t="shared" si="4"/>
        <v>20</v>
      </c>
      <c r="S28" s="11">
        <f t="shared" si="4"/>
        <v>24</v>
      </c>
      <c r="T28" s="11">
        <f t="shared" si="4"/>
        <v>24</v>
      </c>
    </row>
    <row r="29" spans="1:27" x14ac:dyDescent="0.3">
      <c r="A29">
        <v>183</v>
      </c>
      <c r="B29">
        <v>13766</v>
      </c>
      <c r="C29" t="s">
        <v>181</v>
      </c>
      <c r="D29" t="s">
        <v>316</v>
      </c>
      <c r="E29">
        <v>35.917299999999997</v>
      </c>
      <c r="F29">
        <v>-75.7</v>
      </c>
      <c r="G29">
        <v>4</v>
      </c>
      <c r="H29" t="s">
        <v>823</v>
      </c>
      <c r="I29">
        <v>33</v>
      </c>
      <c r="J29">
        <v>22</v>
      </c>
      <c r="K29">
        <v>30</v>
      </c>
      <c r="L29">
        <v>25</v>
      </c>
      <c r="M29">
        <v>24</v>
      </c>
      <c r="N29">
        <v>30</v>
      </c>
      <c r="O29">
        <v>37</v>
      </c>
      <c r="P29">
        <v>40</v>
      </c>
      <c r="Q29">
        <v>27</v>
      </c>
      <c r="R29">
        <v>20</v>
      </c>
      <c r="S29">
        <v>22</v>
      </c>
      <c r="T29">
        <v>25</v>
      </c>
      <c r="U29" t="s">
        <v>19</v>
      </c>
      <c r="V29" t="s">
        <v>19</v>
      </c>
      <c r="W29" t="s">
        <v>19</v>
      </c>
      <c r="X29" t="s">
        <v>19</v>
      </c>
      <c r="Y29" t="s">
        <v>19</v>
      </c>
      <c r="Z29" t="s">
        <v>19</v>
      </c>
      <c r="AA29" t="s">
        <v>19</v>
      </c>
    </row>
    <row r="30" spans="1:27" x14ac:dyDescent="0.3">
      <c r="A30">
        <v>62</v>
      </c>
      <c r="B30">
        <v>314970</v>
      </c>
      <c r="C30" t="s">
        <v>169</v>
      </c>
      <c r="D30" t="s">
        <v>351</v>
      </c>
      <c r="E30">
        <v>35.845799999999997</v>
      </c>
      <c r="F30">
        <v>-80.259699999999995</v>
      </c>
      <c r="G30">
        <v>231.6</v>
      </c>
      <c r="H30" t="s">
        <v>823</v>
      </c>
      <c r="I30">
        <v>26</v>
      </c>
      <c r="J30">
        <v>27</v>
      </c>
      <c r="K30">
        <v>29</v>
      </c>
      <c r="L30">
        <v>27</v>
      </c>
      <c r="M30">
        <v>22</v>
      </c>
      <c r="N30">
        <v>29</v>
      </c>
      <c r="O30">
        <v>27</v>
      </c>
      <c r="P30">
        <v>25</v>
      </c>
      <c r="Q30">
        <v>27</v>
      </c>
      <c r="R30">
        <v>21</v>
      </c>
      <c r="S30">
        <v>24</v>
      </c>
      <c r="T30">
        <v>26</v>
      </c>
      <c r="U30" t="s">
        <v>170</v>
      </c>
      <c r="V30" t="s">
        <v>170</v>
      </c>
      <c r="W30" t="s">
        <v>16</v>
      </c>
      <c r="X30" t="s">
        <v>351</v>
      </c>
      <c r="Y30">
        <v>35.85</v>
      </c>
      <c r="Z30">
        <v>-80.260000000000005</v>
      </c>
      <c r="AA30" t="s">
        <v>18</v>
      </c>
    </row>
    <row r="31" spans="1:27" x14ac:dyDescent="0.3">
      <c r="A31">
        <v>69</v>
      </c>
      <c r="B31">
        <v>315743</v>
      </c>
      <c r="C31" t="s">
        <v>186</v>
      </c>
      <c r="D31" t="s">
        <v>355</v>
      </c>
      <c r="E31">
        <v>35.843800000000002</v>
      </c>
      <c r="F31">
        <v>-80.497200000000007</v>
      </c>
      <c r="G31">
        <v>244.4</v>
      </c>
      <c r="H31" t="s">
        <v>823</v>
      </c>
      <c r="I31">
        <v>27</v>
      </c>
      <c r="J31">
        <v>26</v>
      </c>
      <c r="K31">
        <v>32</v>
      </c>
      <c r="L31">
        <v>26</v>
      </c>
      <c r="M31">
        <v>21</v>
      </c>
      <c r="N31">
        <v>25</v>
      </c>
      <c r="O31">
        <v>28</v>
      </c>
      <c r="P31">
        <v>24</v>
      </c>
      <c r="Q31">
        <v>25</v>
      </c>
      <c r="R31">
        <v>23</v>
      </c>
      <c r="S31">
        <v>23</v>
      </c>
      <c r="T31">
        <v>28</v>
      </c>
      <c r="U31" t="s">
        <v>187</v>
      </c>
      <c r="V31" t="s">
        <v>188</v>
      </c>
      <c r="W31" t="s">
        <v>16</v>
      </c>
      <c r="X31" t="s">
        <v>355</v>
      </c>
      <c r="Y31">
        <v>35.840000000000003</v>
      </c>
      <c r="Z31">
        <v>-80.5</v>
      </c>
      <c r="AA31" t="s">
        <v>18</v>
      </c>
    </row>
    <row r="32" spans="1:27" x14ac:dyDescent="0.3">
      <c r="D32" t="s">
        <v>378</v>
      </c>
      <c r="I32" s="11">
        <f>+I87</f>
        <v>28</v>
      </c>
      <c r="J32" s="11">
        <f t="shared" ref="J32:T32" si="5">+J87</f>
        <v>25</v>
      </c>
      <c r="K32" s="11">
        <f t="shared" si="5"/>
        <v>29</v>
      </c>
      <c r="L32" s="11">
        <f t="shared" si="5"/>
        <v>24</v>
      </c>
      <c r="M32" s="11">
        <f t="shared" si="5"/>
        <v>28</v>
      </c>
      <c r="N32" s="11">
        <f t="shared" si="5"/>
        <v>34</v>
      </c>
      <c r="O32" s="11">
        <f t="shared" si="5"/>
        <v>43</v>
      </c>
      <c r="P32" s="11">
        <f t="shared" si="5"/>
        <v>40</v>
      </c>
      <c r="Q32" s="11">
        <f t="shared" si="5"/>
        <v>35</v>
      </c>
      <c r="R32" s="11">
        <f t="shared" si="5"/>
        <v>20</v>
      </c>
      <c r="S32" s="11">
        <f t="shared" si="5"/>
        <v>19</v>
      </c>
      <c r="T32" s="11">
        <f t="shared" si="5"/>
        <v>21</v>
      </c>
    </row>
    <row r="33" spans="1:27" x14ac:dyDescent="0.3">
      <c r="A33">
        <v>29</v>
      </c>
      <c r="B33">
        <v>312515</v>
      </c>
      <c r="C33" t="s">
        <v>838</v>
      </c>
      <c r="D33" t="s">
        <v>100</v>
      </c>
      <c r="E33">
        <v>36.042499999999997</v>
      </c>
      <c r="F33">
        <v>-78.962500000000006</v>
      </c>
      <c r="G33">
        <v>121.9</v>
      </c>
      <c r="H33" t="s">
        <v>823</v>
      </c>
      <c r="I33">
        <v>28</v>
      </c>
      <c r="J33">
        <v>26</v>
      </c>
      <c r="K33">
        <v>32</v>
      </c>
      <c r="L33">
        <v>24</v>
      </c>
      <c r="M33">
        <v>25</v>
      </c>
      <c r="N33">
        <v>30</v>
      </c>
      <c r="O33">
        <v>29</v>
      </c>
      <c r="P33">
        <v>33</v>
      </c>
      <c r="Q33">
        <v>23</v>
      </c>
      <c r="R33">
        <v>23</v>
      </c>
      <c r="S33">
        <v>23</v>
      </c>
      <c r="T33">
        <v>28</v>
      </c>
      <c r="U33" t="s">
        <v>100</v>
      </c>
      <c r="V33" t="s">
        <v>100</v>
      </c>
      <c r="W33" t="s">
        <v>16</v>
      </c>
      <c r="X33" t="s">
        <v>100</v>
      </c>
      <c r="Y33">
        <v>36.04</v>
      </c>
      <c r="Z33">
        <v>-78.959999999999994</v>
      </c>
      <c r="AA33" t="s">
        <v>18</v>
      </c>
    </row>
    <row r="34" spans="1:27" x14ac:dyDescent="0.3">
      <c r="A34">
        <v>92</v>
      </c>
      <c r="B34">
        <v>317400</v>
      </c>
      <c r="C34" t="s">
        <v>225</v>
      </c>
      <c r="D34" t="s">
        <v>365</v>
      </c>
      <c r="E34">
        <v>35.893610000000002</v>
      </c>
      <c r="F34">
        <v>-77.68056</v>
      </c>
      <c r="G34">
        <v>33.5</v>
      </c>
      <c r="H34" t="s">
        <v>823</v>
      </c>
      <c r="I34">
        <v>25</v>
      </c>
      <c r="J34">
        <v>25</v>
      </c>
      <c r="K34">
        <v>30</v>
      </c>
      <c r="L34">
        <v>26</v>
      </c>
      <c r="M34">
        <v>22</v>
      </c>
      <c r="N34">
        <v>28</v>
      </c>
      <c r="O34">
        <v>31</v>
      </c>
      <c r="P34">
        <v>32</v>
      </c>
      <c r="Q34">
        <v>27</v>
      </c>
      <c r="R34">
        <v>20</v>
      </c>
      <c r="S34">
        <v>20</v>
      </c>
      <c r="T34">
        <v>23</v>
      </c>
      <c r="U34" t="s">
        <v>226</v>
      </c>
      <c r="V34" t="s">
        <v>223</v>
      </c>
      <c r="W34" t="s">
        <v>16</v>
      </c>
      <c r="X34" t="s">
        <v>365</v>
      </c>
      <c r="Y34">
        <v>35.89</v>
      </c>
      <c r="Z34">
        <v>-77.680000000000007</v>
      </c>
      <c r="AA34" t="s">
        <v>18</v>
      </c>
    </row>
    <row r="35" spans="1:27" x14ac:dyDescent="0.3">
      <c r="D35" t="s">
        <v>347</v>
      </c>
      <c r="I35" s="11">
        <f>+I42</f>
        <v>27</v>
      </c>
      <c r="J35" s="11">
        <f t="shared" ref="J35:T35" si="6">+J42</f>
        <v>26</v>
      </c>
      <c r="K35" s="11">
        <f t="shared" si="6"/>
        <v>30</v>
      </c>
      <c r="L35" s="11">
        <f t="shared" si="6"/>
        <v>23</v>
      </c>
      <c r="M35" s="11">
        <f t="shared" si="6"/>
        <v>24</v>
      </c>
      <c r="N35" s="11">
        <f t="shared" si="6"/>
        <v>31</v>
      </c>
      <c r="O35" s="11">
        <f t="shared" si="6"/>
        <v>31</v>
      </c>
      <c r="P35" s="11">
        <f t="shared" si="6"/>
        <v>29</v>
      </c>
      <c r="Q35" s="11">
        <f t="shared" si="6"/>
        <v>27</v>
      </c>
      <c r="R35" s="11">
        <f t="shared" si="6"/>
        <v>22</v>
      </c>
      <c r="S35" s="11">
        <f t="shared" si="6"/>
        <v>25</v>
      </c>
      <c r="T35" s="11">
        <f t="shared" si="6"/>
        <v>25</v>
      </c>
    </row>
    <row r="36" spans="1:27" x14ac:dyDescent="0.3">
      <c r="A36">
        <v>65</v>
      </c>
      <c r="B36">
        <v>315123</v>
      </c>
      <c r="C36" t="s">
        <v>176</v>
      </c>
      <c r="D36" t="s">
        <v>126</v>
      </c>
      <c r="E36">
        <v>36.102800000000002</v>
      </c>
      <c r="F36">
        <v>-78.303899999999999</v>
      </c>
      <c r="G36">
        <v>79.2</v>
      </c>
      <c r="H36" t="s">
        <v>823</v>
      </c>
      <c r="I36">
        <v>23</v>
      </c>
      <c r="J36">
        <v>20</v>
      </c>
      <c r="K36">
        <v>30</v>
      </c>
      <c r="L36">
        <v>20</v>
      </c>
      <c r="M36">
        <v>26</v>
      </c>
      <c r="N36">
        <v>26</v>
      </c>
      <c r="O36">
        <v>30</v>
      </c>
      <c r="P36">
        <v>36</v>
      </c>
      <c r="Q36">
        <v>27</v>
      </c>
      <c r="R36">
        <v>20</v>
      </c>
      <c r="S36">
        <v>23</v>
      </c>
      <c r="T36">
        <v>24</v>
      </c>
      <c r="U36" t="s">
        <v>177</v>
      </c>
      <c r="V36" t="s">
        <v>177</v>
      </c>
      <c r="W36" t="s">
        <v>16</v>
      </c>
      <c r="X36" t="s">
        <v>126</v>
      </c>
      <c r="Y36">
        <v>36.1</v>
      </c>
      <c r="Z36">
        <v>-78.3</v>
      </c>
      <c r="AA36" t="s">
        <v>18</v>
      </c>
    </row>
    <row r="37" spans="1:27" x14ac:dyDescent="0.3">
      <c r="A37">
        <v>41</v>
      </c>
      <c r="B37">
        <v>313356</v>
      </c>
      <c r="C37" t="s">
        <v>846</v>
      </c>
      <c r="D37" t="s">
        <v>337</v>
      </c>
      <c r="E37">
        <v>35.265500000000003</v>
      </c>
      <c r="F37">
        <v>-81.143299999999996</v>
      </c>
      <c r="G37">
        <v>213.4</v>
      </c>
      <c r="H37" t="s">
        <v>823</v>
      </c>
      <c r="I37">
        <v>29</v>
      </c>
      <c r="J37">
        <v>25</v>
      </c>
      <c r="K37">
        <v>27</v>
      </c>
      <c r="L37">
        <v>22</v>
      </c>
      <c r="M37">
        <v>22</v>
      </c>
      <c r="N37">
        <v>25</v>
      </c>
      <c r="O37">
        <v>20</v>
      </c>
      <c r="P37">
        <v>30</v>
      </c>
      <c r="Q37">
        <v>23</v>
      </c>
      <c r="R37">
        <v>24</v>
      </c>
      <c r="S37">
        <v>20</v>
      </c>
      <c r="T37">
        <v>27</v>
      </c>
      <c r="U37" t="s">
        <v>847</v>
      </c>
      <c r="V37" t="s">
        <v>847</v>
      </c>
      <c r="W37" t="s">
        <v>16</v>
      </c>
      <c r="X37" t="s">
        <v>337</v>
      </c>
      <c r="Y37">
        <v>35.270000000000003</v>
      </c>
      <c r="Z37">
        <v>-81.14</v>
      </c>
      <c r="AA37" t="s">
        <v>18</v>
      </c>
    </row>
    <row r="38" spans="1:27" x14ac:dyDescent="0.3">
      <c r="D38" t="s">
        <v>711</v>
      </c>
      <c r="I38" s="11">
        <f>+I47</f>
        <v>26</v>
      </c>
      <c r="J38" s="11">
        <f t="shared" ref="J38:T38" si="7">+J47</f>
        <v>26</v>
      </c>
      <c r="K38" s="11">
        <f t="shared" si="7"/>
        <v>30</v>
      </c>
      <c r="L38" s="11">
        <f t="shared" si="7"/>
        <v>26</v>
      </c>
      <c r="M38" s="11">
        <f t="shared" si="7"/>
        <v>31</v>
      </c>
      <c r="N38" s="11">
        <f t="shared" si="7"/>
        <v>34</v>
      </c>
      <c r="O38" s="11">
        <f t="shared" si="7"/>
        <v>32</v>
      </c>
      <c r="P38" s="11">
        <f t="shared" si="7"/>
        <v>30</v>
      </c>
      <c r="Q38" s="11">
        <f t="shared" si="7"/>
        <v>28</v>
      </c>
      <c r="R38" s="11">
        <f t="shared" si="7"/>
        <v>25</v>
      </c>
      <c r="S38" s="11">
        <f t="shared" si="7"/>
        <v>22</v>
      </c>
      <c r="T38" s="11">
        <f t="shared" si="7"/>
        <v>28</v>
      </c>
    </row>
    <row r="39" spans="1:27" x14ac:dyDescent="0.3">
      <c r="A39">
        <v>104</v>
      </c>
      <c r="B39">
        <v>318492</v>
      </c>
      <c r="C39" t="s">
        <v>872</v>
      </c>
      <c r="D39" t="s">
        <v>131</v>
      </c>
      <c r="E39">
        <v>35.456110000000002</v>
      </c>
      <c r="F39">
        <v>-83.939719999999994</v>
      </c>
      <c r="G39">
        <v>338.3</v>
      </c>
      <c r="H39" t="s">
        <v>823</v>
      </c>
      <c r="I39">
        <v>31</v>
      </c>
      <c r="J39">
        <v>35</v>
      </c>
      <c r="K39">
        <v>36</v>
      </c>
      <c r="L39">
        <v>31</v>
      </c>
      <c r="M39">
        <v>37</v>
      </c>
      <c r="N39">
        <v>41</v>
      </c>
      <c r="O39">
        <v>38</v>
      </c>
      <c r="P39">
        <v>25</v>
      </c>
      <c r="Q39">
        <v>25</v>
      </c>
      <c r="R39">
        <v>18</v>
      </c>
      <c r="S39">
        <v>35</v>
      </c>
      <c r="T39">
        <v>35</v>
      </c>
      <c r="U39" t="s">
        <v>873</v>
      </c>
      <c r="V39" t="s">
        <v>873</v>
      </c>
      <c r="W39" t="s">
        <v>16</v>
      </c>
      <c r="X39" t="s">
        <v>131</v>
      </c>
      <c r="Y39">
        <v>35.46</v>
      </c>
      <c r="Z39">
        <v>-83.94</v>
      </c>
      <c r="AA39" t="s">
        <v>18</v>
      </c>
    </row>
    <row r="40" spans="1:27" x14ac:dyDescent="0.3">
      <c r="A40">
        <v>153</v>
      </c>
      <c r="B40">
        <v>316510</v>
      </c>
      <c r="C40" t="s">
        <v>208</v>
      </c>
      <c r="D40" t="s">
        <v>882</v>
      </c>
      <c r="E40">
        <v>36.302219999999998</v>
      </c>
      <c r="F40">
        <v>-78.610830000000007</v>
      </c>
      <c r="G40">
        <v>152.4</v>
      </c>
      <c r="H40" t="s">
        <v>823</v>
      </c>
      <c r="I40">
        <v>22</v>
      </c>
      <c r="J40">
        <v>19</v>
      </c>
      <c r="K40">
        <v>29</v>
      </c>
      <c r="L40">
        <v>27</v>
      </c>
      <c r="M40">
        <v>26</v>
      </c>
      <c r="N40">
        <v>27</v>
      </c>
      <c r="O40">
        <v>29</v>
      </c>
      <c r="P40">
        <v>28</v>
      </c>
      <c r="Q40">
        <v>26</v>
      </c>
      <c r="R40">
        <v>19</v>
      </c>
      <c r="S40">
        <v>22</v>
      </c>
      <c r="T40">
        <v>28</v>
      </c>
      <c r="U40" t="s">
        <v>19</v>
      </c>
      <c r="V40" t="s">
        <v>19</v>
      </c>
      <c r="W40" t="s">
        <v>19</v>
      </c>
      <c r="X40" t="s">
        <v>19</v>
      </c>
      <c r="Y40" t="s">
        <v>19</v>
      </c>
      <c r="Z40" t="s">
        <v>19</v>
      </c>
      <c r="AA40" t="s">
        <v>19</v>
      </c>
    </row>
    <row r="41" spans="1:27" x14ac:dyDescent="0.3">
      <c r="D41" t="s">
        <v>715</v>
      </c>
      <c r="I41" s="11">
        <f>+I55</f>
        <v>27</v>
      </c>
      <c r="J41" s="11">
        <f t="shared" ref="J41:T41" si="8">+J55</f>
        <v>24</v>
      </c>
      <c r="K41" s="11">
        <f t="shared" si="8"/>
        <v>27</v>
      </c>
      <c r="L41" s="11">
        <f t="shared" si="8"/>
        <v>21</v>
      </c>
      <c r="M41" s="11">
        <f t="shared" si="8"/>
        <v>25</v>
      </c>
      <c r="N41" s="11">
        <f t="shared" si="8"/>
        <v>34</v>
      </c>
      <c r="O41" s="11">
        <f t="shared" si="8"/>
        <v>37</v>
      </c>
      <c r="P41" s="11">
        <f t="shared" si="8"/>
        <v>33</v>
      </c>
      <c r="Q41" s="11">
        <f t="shared" si="8"/>
        <v>30</v>
      </c>
      <c r="R41" s="11">
        <f t="shared" si="8"/>
        <v>17</v>
      </c>
      <c r="S41" s="11">
        <f t="shared" si="8"/>
        <v>24</v>
      </c>
      <c r="T41" s="11">
        <f t="shared" si="8"/>
        <v>24</v>
      </c>
    </row>
    <row r="42" spans="1:27" x14ac:dyDescent="0.3">
      <c r="A42">
        <v>48</v>
      </c>
      <c r="B42">
        <v>314063</v>
      </c>
      <c r="C42" t="s">
        <v>850</v>
      </c>
      <c r="D42" t="s">
        <v>339</v>
      </c>
      <c r="E42">
        <v>35.967219999999998</v>
      </c>
      <c r="F42">
        <v>-79.972219999999993</v>
      </c>
      <c r="G42">
        <v>274.3</v>
      </c>
      <c r="H42" t="s">
        <v>823</v>
      </c>
      <c r="I42">
        <v>27</v>
      </c>
      <c r="J42">
        <v>26</v>
      </c>
      <c r="K42">
        <v>30</v>
      </c>
      <c r="L42">
        <v>23</v>
      </c>
      <c r="M42">
        <v>24</v>
      </c>
      <c r="N42">
        <v>31</v>
      </c>
      <c r="O42">
        <v>31</v>
      </c>
      <c r="P42">
        <v>29</v>
      </c>
      <c r="Q42">
        <v>27</v>
      </c>
      <c r="R42">
        <v>22</v>
      </c>
      <c r="S42">
        <v>25</v>
      </c>
      <c r="T42">
        <v>25</v>
      </c>
      <c r="U42" t="s">
        <v>851</v>
      </c>
      <c r="V42" t="s">
        <v>851</v>
      </c>
      <c r="W42" t="s">
        <v>16</v>
      </c>
      <c r="X42" t="s">
        <v>339</v>
      </c>
      <c r="Y42">
        <v>35.97</v>
      </c>
      <c r="Z42">
        <v>-79.97</v>
      </c>
      <c r="AA42" t="s">
        <v>18</v>
      </c>
    </row>
    <row r="43" spans="1:27" x14ac:dyDescent="0.3">
      <c r="A43">
        <v>35</v>
      </c>
      <c r="B43">
        <v>312827</v>
      </c>
      <c r="C43" t="s">
        <v>840</v>
      </c>
      <c r="D43" t="s">
        <v>334</v>
      </c>
      <c r="E43">
        <v>36.168599999999998</v>
      </c>
      <c r="F43">
        <v>-77.674999999999997</v>
      </c>
      <c r="G43">
        <v>33.5</v>
      </c>
      <c r="H43" t="s">
        <v>823</v>
      </c>
      <c r="I43">
        <v>23</v>
      </c>
      <c r="J43">
        <v>23</v>
      </c>
      <c r="K43">
        <v>32</v>
      </c>
      <c r="L43">
        <v>22</v>
      </c>
      <c r="M43">
        <v>22</v>
      </c>
      <c r="N43">
        <v>23</v>
      </c>
      <c r="O43">
        <v>31</v>
      </c>
      <c r="P43">
        <v>31</v>
      </c>
      <c r="Q43">
        <v>27</v>
      </c>
      <c r="R43">
        <v>22</v>
      </c>
      <c r="S43">
        <v>23</v>
      </c>
      <c r="T43">
        <v>23</v>
      </c>
      <c r="U43" t="s">
        <v>841</v>
      </c>
      <c r="V43" t="s">
        <v>841</v>
      </c>
      <c r="W43" t="s">
        <v>16</v>
      </c>
      <c r="X43" t="s">
        <v>334</v>
      </c>
      <c r="Y43">
        <v>36.17</v>
      </c>
      <c r="Z43">
        <v>-77.680000000000007</v>
      </c>
      <c r="AA43" t="s">
        <v>18</v>
      </c>
    </row>
    <row r="44" spans="1:27" x14ac:dyDescent="0.3">
      <c r="A44">
        <v>28</v>
      </c>
      <c r="B44">
        <v>312500</v>
      </c>
      <c r="C44" t="s">
        <v>96</v>
      </c>
      <c r="D44" t="s">
        <v>328</v>
      </c>
      <c r="E44">
        <v>35.3247</v>
      </c>
      <c r="F44">
        <v>-78.688100000000006</v>
      </c>
      <c r="G44">
        <v>61</v>
      </c>
      <c r="H44" t="s">
        <v>823</v>
      </c>
      <c r="I44">
        <v>27</v>
      </c>
      <c r="J44">
        <v>23</v>
      </c>
      <c r="K44">
        <v>28</v>
      </c>
      <c r="L44">
        <v>21</v>
      </c>
      <c r="M44">
        <v>25</v>
      </c>
      <c r="N44">
        <v>28</v>
      </c>
      <c r="O44">
        <v>38</v>
      </c>
      <c r="P44">
        <v>36</v>
      </c>
      <c r="Q44">
        <v>26</v>
      </c>
      <c r="R44">
        <v>18</v>
      </c>
      <c r="S44">
        <v>23</v>
      </c>
      <c r="T44">
        <v>24</v>
      </c>
      <c r="U44" t="s">
        <v>97</v>
      </c>
      <c r="V44" t="s">
        <v>98</v>
      </c>
      <c r="W44" t="s">
        <v>16</v>
      </c>
      <c r="X44" t="s">
        <v>328</v>
      </c>
      <c r="Y44">
        <v>35.32</v>
      </c>
      <c r="Z44">
        <v>-78.69</v>
      </c>
      <c r="AA44" t="s">
        <v>18</v>
      </c>
    </row>
    <row r="45" spans="1:27" x14ac:dyDescent="0.3">
      <c r="A45">
        <v>115</v>
      </c>
      <c r="B45">
        <v>319147</v>
      </c>
      <c r="C45" t="s">
        <v>275</v>
      </c>
      <c r="D45" t="s">
        <v>319</v>
      </c>
      <c r="E45">
        <v>35.486600000000003</v>
      </c>
      <c r="F45">
        <v>-82.968299999999999</v>
      </c>
      <c r="G45">
        <v>810.2</v>
      </c>
      <c r="H45" t="s">
        <v>823</v>
      </c>
      <c r="I45">
        <v>30</v>
      </c>
      <c r="J45">
        <v>30</v>
      </c>
      <c r="K45">
        <v>29</v>
      </c>
      <c r="L45">
        <v>29</v>
      </c>
      <c r="M45">
        <v>29</v>
      </c>
      <c r="N45">
        <v>28</v>
      </c>
      <c r="O45">
        <v>23</v>
      </c>
      <c r="P45">
        <v>26</v>
      </c>
      <c r="Q45">
        <v>24</v>
      </c>
      <c r="R45">
        <v>16</v>
      </c>
      <c r="S45">
        <v>28</v>
      </c>
      <c r="T45">
        <v>27</v>
      </c>
      <c r="U45" t="s">
        <v>276</v>
      </c>
      <c r="V45" t="s">
        <v>277</v>
      </c>
      <c r="W45" t="s">
        <v>16</v>
      </c>
      <c r="X45" t="s">
        <v>319</v>
      </c>
      <c r="Y45">
        <v>35.49</v>
      </c>
      <c r="Z45">
        <v>-82.97</v>
      </c>
      <c r="AA45" t="s">
        <v>18</v>
      </c>
    </row>
    <row r="46" spans="1:27" x14ac:dyDescent="0.3">
      <c r="A46">
        <v>38</v>
      </c>
      <c r="B46">
        <v>313106</v>
      </c>
      <c r="C46" t="s">
        <v>120</v>
      </c>
      <c r="D46" t="s">
        <v>142</v>
      </c>
      <c r="E46">
        <v>35.426600000000001</v>
      </c>
      <c r="F46">
        <v>-82.557400000000001</v>
      </c>
      <c r="G46">
        <v>630.9</v>
      </c>
      <c r="H46" t="s">
        <v>823</v>
      </c>
      <c r="I46">
        <v>31</v>
      </c>
      <c r="J46">
        <v>28</v>
      </c>
      <c r="K46">
        <v>29</v>
      </c>
      <c r="L46">
        <v>22</v>
      </c>
      <c r="M46">
        <v>25</v>
      </c>
      <c r="N46">
        <v>32</v>
      </c>
      <c r="O46">
        <v>31</v>
      </c>
      <c r="P46">
        <v>29</v>
      </c>
      <c r="Q46">
        <v>28</v>
      </c>
      <c r="R46">
        <v>23</v>
      </c>
      <c r="S46">
        <v>24</v>
      </c>
      <c r="T46">
        <v>29</v>
      </c>
      <c r="U46" t="s">
        <v>121</v>
      </c>
      <c r="V46" t="s">
        <v>122</v>
      </c>
      <c r="W46" t="s">
        <v>16</v>
      </c>
      <c r="X46" t="s">
        <v>142</v>
      </c>
      <c r="Y46">
        <v>35.43</v>
      </c>
      <c r="Z46">
        <v>-82.56</v>
      </c>
      <c r="AA46" t="s">
        <v>18</v>
      </c>
    </row>
    <row r="47" spans="1:27" x14ac:dyDescent="0.3">
      <c r="A47">
        <v>76</v>
      </c>
      <c r="B47">
        <v>315996</v>
      </c>
      <c r="C47" t="s">
        <v>192</v>
      </c>
      <c r="D47" t="s">
        <v>357</v>
      </c>
      <c r="E47">
        <v>36.452100000000002</v>
      </c>
      <c r="F47">
        <v>-77.080299999999994</v>
      </c>
      <c r="G47">
        <v>30.5</v>
      </c>
      <c r="H47" t="s">
        <v>823</v>
      </c>
      <c r="I47">
        <v>26</v>
      </c>
      <c r="J47">
        <v>26</v>
      </c>
      <c r="K47">
        <v>30</v>
      </c>
      <c r="L47">
        <v>26</v>
      </c>
      <c r="M47">
        <v>31</v>
      </c>
      <c r="N47">
        <v>34</v>
      </c>
      <c r="O47">
        <v>32</v>
      </c>
      <c r="P47">
        <v>30</v>
      </c>
      <c r="Q47">
        <v>28</v>
      </c>
      <c r="R47">
        <v>25</v>
      </c>
      <c r="S47">
        <v>22</v>
      </c>
      <c r="T47">
        <v>28</v>
      </c>
      <c r="U47" t="s">
        <v>193</v>
      </c>
      <c r="V47" t="s">
        <v>193</v>
      </c>
      <c r="W47" t="s">
        <v>16</v>
      </c>
      <c r="X47" t="s">
        <v>357</v>
      </c>
      <c r="Y47">
        <v>36.450000000000003</v>
      </c>
      <c r="Z47">
        <v>-77.08</v>
      </c>
      <c r="AA47" t="s">
        <v>18</v>
      </c>
    </row>
    <row r="48" spans="1:27" x14ac:dyDescent="0.3">
      <c r="A48">
        <v>132</v>
      </c>
      <c r="B48">
        <v>317056</v>
      </c>
      <c r="C48" t="s">
        <v>213</v>
      </c>
      <c r="D48" t="s">
        <v>363</v>
      </c>
      <c r="E48">
        <v>34.987000000000002</v>
      </c>
      <c r="F48">
        <v>-79.218999999999994</v>
      </c>
      <c r="G48">
        <v>76.2</v>
      </c>
      <c r="H48" t="s">
        <v>823</v>
      </c>
      <c r="I48">
        <v>28</v>
      </c>
      <c r="J48">
        <v>23</v>
      </c>
      <c r="K48">
        <v>27</v>
      </c>
      <c r="L48">
        <v>23</v>
      </c>
      <c r="M48">
        <v>20</v>
      </c>
      <c r="N48">
        <v>30</v>
      </c>
      <c r="O48">
        <v>29</v>
      </c>
      <c r="P48">
        <v>35</v>
      </c>
      <c r="Q48">
        <v>27</v>
      </c>
      <c r="R48">
        <v>20</v>
      </c>
      <c r="S48">
        <v>24</v>
      </c>
      <c r="T48">
        <v>21</v>
      </c>
      <c r="U48" t="s">
        <v>19</v>
      </c>
      <c r="V48" t="s">
        <v>19</v>
      </c>
      <c r="W48" t="s">
        <v>19</v>
      </c>
      <c r="X48" t="s">
        <v>19</v>
      </c>
      <c r="Y48" t="s">
        <v>19</v>
      </c>
      <c r="Z48" t="s">
        <v>19</v>
      </c>
      <c r="AA48" t="s">
        <v>19</v>
      </c>
    </row>
    <row r="49" spans="1:27" x14ac:dyDescent="0.3">
      <c r="D49" t="s">
        <v>362</v>
      </c>
      <c r="I49" s="11">
        <f>+I29</f>
        <v>33</v>
      </c>
      <c r="J49" s="11">
        <f t="shared" ref="J49:T49" si="9">+J29</f>
        <v>22</v>
      </c>
      <c r="K49" s="11">
        <f t="shared" si="9"/>
        <v>30</v>
      </c>
      <c r="L49" s="11">
        <f t="shared" si="9"/>
        <v>25</v>
      </c>
      <c r="M49" s="11">
        <f t="shared" si="9"/>
        <v>24</v>
      </c>
      <c r="N49" s="11">
        <f t="shared" si="9"/>
        <v>30</v>
      </c>
      <c r="O49" s="11">
        <f t="shared" si="9"/>
        <v>37</v>
      </c>
      <c r="P49" s="11">
        <f t="shared" si="9"/>
        <v>40</v>
      </c>
      <c r="Q49" s="11">
        <f t="shared" si="9"/>
        <v>27</v>
      </c>
      <c r="R49" s="11">
        <f t="shared" si="9"/>
        <v>20</v>
      </c>
      <c r="S49" s="11">
        <f t="shared" si="9"/>
        <v>22</v>
      </c>
      <c r="T49" s="11">
        <f t="shared" si="9"/>
        <v>25</v>
      </c>
    </row>
    <row r="50" spans="1:27" x14ac:dyDescent="0.3">
      <c r="A50">
        <v>103</v>
      </c>
      <c r="B50">
        <v>318292</v>
      </c>
      <c r="C50" t="s">
        <v>251</v>
      </c>
      <c r="D50" t="s">
        <v>371</v>
      </c>
      <c r="E50">
        <v>35.809899999999999</v>
      </c>
      <c r="F50">
        <v>-80.880799999999994</v>
      </c>
      <c r="G50">
        <v>289.60000000000002</v>
      </c>
      <c r="H50" t="s">
        <v>823</v>
      </c>
      <c r="I50">
        <v>24</v>
      </c>
      <c r="J50">
        <v>25</v>
      </c>
      <c r="K50">
        <v>28</v>
      </c>
      <c r="L50">
        <v>23</v>
      </c>
      <c r="M50">
        <v>23</v>
      </c>
      <c r="N50">
        <v>29</v>
      </c>
      <c r="O50">
        <v>25</v>
      </c>
      <c r="P50">
        <v>24</v>
      </c>
      <c r="Q50">
        <v>24</v>
      </c>
      <c r="R50">
        <v>23</v>
      </c>
      <c r="S50">
        <v>24</v>
      </c>
      <c r="T50">
        <v>27</v>
      </c>
      <c r="U50" t="s">
        <v>252</v>
      </c>
      <c r="V50" t="s">
        <v>253</v>
      </c>
      <c r="W50" t="s">
        <v>16</v>
      </c>
      <c r="X50" t="s">
        <v>371</v>
      </c>
      <c r="Y50">
        <v>35.81</v>
      </c>
      <c r="Z50">
        <v>-80.88</v>
      </c>
      <c r="AA50" t="s">
        <v>18</v>
      </c>
    </row>
    <row r="51" spans="1:27" x14ac:dyDescent="0.3">
      <c r="A51">
        <v>26</v>
      </c>
      <c r="B51">
        <v>312200</v>
      </c>
      <c r="C51" t="s">
        <v>90</v>
      </c>
      <c r="D51" t="s">
        <v>149</v>
      </c>
      <c r="E51">
        <v>35.311599999999999</v>
      </c>
      <c r="F51">
        <v>-83.174700000000001</v>
      </c>
      <c r="G51">
        <v>668.1</v>
      </c>
      <c r="H51" t="s">
        <v>823</v>
      </c>
      <c r="I51">
        <v>34</v>
      </c>
      <c r="J51">
        <v>34</v>
      </c>
      <c r="K51">
        <v>31</v>
      </c>
      <c r="L51">
        <v>29</v>
      </c>
      <c r="M51">
        <v>30</v>
      </c>
      <c r="N51">
        <v>32</v>
      </c>
      <c r="O51">
        <v>31</v>
      </c>
      <c r="P51">
        <v>29</v>
      </c>
      <c r="Q51">
        <v>24</v>
      </c>
      <c r="R51">
        <v>20</v>
      </c>
      <c r="S51">
        <v>32</v>
      </c>
      <c r="T51">
        <v>31</v>
      </c>
      <c r="U51" t="s">
        <v>91</v>
      </c>
      <c r="V51" t="s">
        <v>91</v>
      </c>
      <c r="W51" t="s">
        <v>16</v>
      </c>
      <c r="X51" t="s">
        <v>149</v>
      </c>
      <c r="Y51">
        <v>35.31</v>
      </c>
      <c r="Z51">
        <v>-83.17</v>
      </c>
      <c r="AA51" t="s">
        <v>18</v>
      </c>
    </row>
    <row r="52" spans="1:27" x14ac:dyDescent="0.3">
      <c r="A52">
        <v>21</v>
      </c>
      <c r="B52">
        <v>311820</v>
      </c>
      <c r="C52" t="s">
        <v>75</v>
      </c>
      <c r="D52" t="s">
        <v>323</v>
      </c>
      <c r="E52">
        <v>35.640799999999999</v>
      </c>
      <c r="F52">
        <v>-78.463300000000004</v>
      </c>
      <c r="G52">
        <v>91.4</v>
      </c>
      <c r="H52" t="s">
        <v>823</v>
      </c>
      <c r="I52">
        <v>28</v>
      </c>
      <c r="J52">
        <v>24</v>
      </c>
      <c r="K52">
        <v>34</v>
      </c>
      <c r="L52">
        <v>21</v>
      </c>
      <c r="M52">
        <v>23</v>
      </c>
      <c r="N52">
        <v>28</v>
      </c>
      <c r="O52">
        <v>35</v>
      </c>
      <c r="P52">
        <v>39</v>
      </c>
      <c r="Q52">
        <v>26</v>
      </c>
      <c r="R52">
        <v>19</v>
      </c>
      <c r="S52">
        <v>22</v>
      </c>
      <c r="T52">
        <v>24</v>
      </c>
      <c r="U52" t="s">
        <v>76</v>
      </c>
      <c r="V52" t="s">
        <v>77</v>
      </c>
      <c r="W52" t="s">
        <v>16</v>
      </c>
      <c r="X52" t="s">
        <v>323</v>
      </c>
      <c r="Y52">
        <v>35.64</v>
      </c>
      <c r="Z52">
        <v>-78.459999999999994</v>
      </c>
      <c r="AA52" t="s">
        <v>18</v>
      </c>
    </row>
    <row r="53" spans="1:27" x14ac:dyDescent="0.3">
      <c r="A53">
        <v>107</v>
      </c>
      <c r="B53">
        <v>318706</v>
      </c>
      <c r="C53" t="s">
        <v>263</v>
      </c>
      <c r="D53" t="s">
        <v>375</v>
      </c>
      <c r="E53">
        <v>35.062779999999997</v>
      </c>
      <c r="F53">
        <v>-77.35472</v>
      </c>
      <c r="G53">
        <v>9.1</v>
      </c>
      <c r="H53" t="s">
        <v>823</v>
      </c>
      <c r="I53">
        <v>30</v>
      </c>
      <c r="J53">
        <v>23</v>
      </c>
      <c r="K53">
        <v>28</v>
      </c>
      <c r="L53">
        <v>22</v>
      </c>
      <c r="M53">
        <v>29</v>
      </c>
      <c r="N53">
        <v>32</v>
      </c>
      <c r="O53">
        <v>40</v>
      </c>
      <c r="P53">
        <v>41</v>
      </c>
      <c r="Q53">
        <v>32</v>
      </c>
      <c r="R53">
        <v>21</v>
      </c>
      <c r="S53">
        <v>20</v>
      </c>
      <c r="T53">
        <v>22</v>
      </c>
      <c r="U53" t="s">
        <v>264</v>
      </c>
      <c r="V53" t="s">
        <v>264</v>
      </c>
      <c r="W53" t="s">
        <v>16</v>
      </c>
      <c r="X53" t="s">
        <v>375</v>
      </c>
      <c r="Y53">
        <v>35.06</v>
      </c>
      <c r="Z53">
        <v>-77.349999999999994</v>
      </c>
      <c r="AA53" t="s">
        <v>18</v>
      </c>
    </row>
    <row r="54" spans="1:27" x14ac:dyDescent="0.3">
      <c r="A54">
        <v>97</v>
      </c>
      <c r="B54">
        <v>317656</v>
      </c>
      <c r="C54" t="s">
        <v>237</v>
      </c>
      <c r="D54" t="s">
        <v>368</v>
      </c>
      <c r="E54">
        <v>35.534700000000001</v>
      </c>
      <c r="F54">
        <v>-79.046400000000006</v>
      </c>
      <c r="G54">
        <v>79.900000000000006</v>
      </c>
      <c r="H54" t="s">
        <v>823</v>
      </c>
      <c r="I54">
        <v>27</v>
      </c>
      <c r="J54">
        <v>25</v>
      </c>
      <c r="K54">
        <v>29</v>
      </c>
      <c r="L54">
        <v>20</v>
      </c>
      <c r="M54">
        <v>26</v>
      </c>
      <c r="N54">
        <v>29</v>
      </c>
      <c r="O54">
        <v>33</v>
      </c>
      <c r="P54">
        <v>32</v>
      </c>
      <c r="Q54">
        <v>26</v>
      </c>
      <c r="R54">
        <v>21</v>
      </c>
      <c r="S54">
        <v>24</v>
      </c>
      <c r="T54">
        <v>22</v>
      </c>
      <c r="U54" t="s">
        <v>238</v>
      </c>
      <c r="V54" t="s">
        <v>239</v>
      </c>
      <c r="W54" t="s">
        <v>16</v>
      </c>
      <c r="X54" t="s">
        <v>368</v>
      </c>
      <c r="Y54">
        <v>35.53</v>
      </c>
      <c r="Z54">
        <v>-79.05</v>
      </c>
      <c r="AA54" t="s">
        <v>18</v>
      </c>
    </row>
    <row r="55" spans="1:27" x14ac:dyDescent="0.3">
      <c r="A55">
        <v>56</v>
      </c>
      <c r="B55">
        <v>314689</v>
      </c>
      <c r="C55" t="s">
        <v>159</v>
      </c>
      <c r="D55" t="s">
        <v>164</v>
      </c>
      <c r="E55">
        <v>35.297499999999999</v>
      </c>
      <c r="F55">
        <v>-77.572199999999995</v>
      </c>
      <c r="G55">
        <v>18.3</v>
      </c>
      <c r="H55" t="s">
        <v>823</v>
      </c>
      <c r="I55">
        <v>27</v>
      </c>
      <c r="J55">
        <v>24</v>
      </c>
      <c r="K55">
        <v>27</v>
      </c>
      <c r="L55">
        <v>21</v>
      </c>
      <c r="M55">
        <v>25</v>
      </c>
      <c r="N55">
        <v>34</v>
      </c>
      <c r="O55">
        <v>37</v>
      </c>
      <c r="P55">
        <v>33</v>
      </c>
      <c r="Q55">
        <v>30</v>
      </c>
      <c r="R55">
        <v>17</v>
      </c>
      <c r="S55">
        <v>24</v>
      </c>
      <c r="T55">
        <v>24</v>
      </c>
      <c r="U55" t="s">
        <v>160</v>
      </c>
      <c r="V55" t="s">
        <v>157</v>
      </c>
      <c r="W55" t="s">
        <v>16</v>
      </c>
      <c r="X55" t="s">
        <v>164</v>
      </c>
      <c r="Y55">
        <v>35.299999999999997</v>
      </c>
      <c r="Z55">
        <v>-77.569999999999993</v>
      </c>
      <c r="AA55" t="s">
        <v>18</v>
      </c>
    </row>
    <row r="56" spans="1:27" x14ac:dyDescent="0.3">
      <c r="A56">
        <v>63</v>
      </c>
      <c r="B56">
        <v>314996</v>
      </c>
      <c r="C56" t="s">
        <v>172</v>
      </c>
      <c r="D56" t="s">
        <v>352</v>
      </c>
      <c r="E56">
        <v>35.460560000000001</v>
      </c>
      <c r="F56">
        <v>-81.328890000000001</v>
      </c>
      <c r="G56">
        <v>274.3</v>
      </c>
      <c r="H56" t="s">
        <v>823</v>
      </c>
      <c r="I56">
        <v>26</v>
      </c>
      <c r="J56">
        <v>26</v>
      </c>
      <c r="K56">
        <v>31</v>
      </c>
      <c r="L56">
        <v>26</v>
      </c>
      <c r="M56">
        <v>27</v>
      </c>
      <c r="N56">
        <v>30</v>
      </c>
      <c r="O56">
        <v>26</v>
      </c>
      <c r="P56">
        <v>25</v>
      </c>
      <c r="Q56">
        <v>23</v>
      </c>
      <c r="R56">
        <v>27</v>
      </c>
      <c r="S56">
        <v>24</v>
      </c>
      <c r="T56">
        <v>28</v>
      </c>
      <c r="U56" t="s">
        <v>173</v>
      </c>
      <c r="V56" t="s">
        <v>174</v>
      </c>
      <c r="W56" t="s">
        <v>16</v>
      </c>
      <c r="X56" t="s">
        <v>352</v>
      </c>
      <c r="Y56">
        <v>35.46</v>
      </c>
      <c r="Z56">
        <v>-81.33</v>
      </c>
      <c r="AA56" t="s">
        <v>18</v>
      </c>
    </row>
    <row r="57" spans="1:27" x14ac:dyDescent="0.3">
      <c r="A57">
        <v>25</v>
      </c>
      <c r="B57">
        <v>312102</v>
      </c>
      <c r="C57" t="s">
        <v>86</v>
      </c>
      <c r="D57" t="s">
        <v>326</v>
      </c>
      <c r="E57">
        <v>35.059100000000001</v>
      </c>
      <c r="F57">
        <v>-83.431299999999993</v>
      </c>
      <c r="G57">
        <v>685.5</v>
      </c>
      <c r="H57" t="s">
        <v>823</v>
      </c>
      <c r="I57">
        <v>41</v>
      </c>
      <c r="J57">
        <v>44</v>
      </c>
      <c r="K57">
        <v>42</v>
      </c>
      <c r="L57">
        <v>35</v>
      </c>
      <c r="M57">
        <v>33</v>
      </c>
      <c r="N57">
        <v>37</v>
      </c>
      <c r="O57">
        <v>32</v>
      </c>
      <c r="P57">
        <v>30</v>
      </c>
      <c r="Q57">
        <v>31</v>
      </c>
      <c r="R57">
        <v>29</v>
      </c>
      <c r="S57">
        <v>39</v>
      </c>
      <c r="T57">
        <v>44</v>
      </c>
      <c r="U57" t="s">
        <v>87</v>
      </c>
      <c r="V57" t="s">
        <v>88</v>
      </c>
      <c r="W57" t="s">
        <v>16</v>
      </c>
      <c r="X57" t="s">
        <v>326</v>
      </c>
      <c r="Y57">
        <v>35.06</v>
      </c>
      <c r="Z57">
        <v>-83.43</v>
      </c>
      <c r="AA57" t="s">
        <v>18</v>
      </c>
    </row>
    <row r="58" spans="1:27" x14ac:dyDescent="0.3">
      <c r="A58">
        <v>51</v>
      </c>
      <c r="B58">
        <v>314260</v>
      </c>
      <c r="C58" t="s">
        <v>145</v>
      </c>
      <c r="D58" t="s">
        <v>344</v>
      </c>
      <c r="E58">
        <v>35.895000000000003</v>
      </c>
      <c r="F58">
        <v>-82.831109999999995</v>
      </c>
      <c r="G58">
        <v>425.5</v>
      </c>
      <c r="H58" t="s">
        <v>823</v>
      </c>
      <c r="I58">
        <v>20</v>
      </c>
      <c r="J58">
        <v>21</v>
      </c>
      <c r="K58">
        <v>23</v>
      </c>
      <c r="L58">
        <v>24</v>
      </c>
      <c r="M58">
        <v>31</v>
      </c>
      <c r="N58">
        <v>29</v>
      </c>
      <c r="O58">
        <v>35</v>
      </c>
      <c r="P58">
        <v>30</v>
      </c>
      <c r="Q58">
        <v>25</v>
      </c>
      <c r="R58">
        <v>13</v>
      </c>
      <c r="S58">
        <v>17</v>
      </c>
      <c r="T58">
        <v>16</v>
      </c>
      <c r="U58" t="s">
        <v>146</v>
      </c>
      <c r="V58" t="s">
        <v>146</v>
      </c>
      <c r="W58" t="s">
        <v>16</v>
      </c>
      <c r="X58" t="s">
        <v>344</v>
      </c>
      <c r="Y58">
        <v>35.9</v>
      </c>
      <c r="Z58">
        <v>-82.83</v>
      </c>
      <c r="AA58" t="s">
        <v>18</v>
      </c>
    </row>
    <row r="59" spans="1:27" x14ac:dyDescent="0.3">
      <c r="A59">
        <v>118</v>
      </c>
      <c r="B59">
        <v>319440</v>
      </c>
      <c r="C59" t="s">
        <v>285</v>
      </c>
      <c r="D59" t="s">
        <v>380</v>
      </c>
      <c r="E59">
        <v>35.852899999999998</v>
      </c>
      <c r="F59">
        <v>-77.030600000000007</v>
      </c>
      <c r="G59">
        <v>6.1</v>
      </c>
      <c r="H59" t="s">
        <v>823</v>
      </c>
      <c r="I59">
        <v>28</v>
      </c>
      <c r="J59">
        <v>22</v>
      </c>
      <c r="K59">
        <v>28</v>
      </c>
      <c r="L59">
        <v>26</v>
      </c>
      <c r="M59">
        <v>28</v>
      </c>
      <c r="N59">
        <v>29</v>
      </c>
      <c r="O59">
        <v>32</v>
      </c>
      <c r="P59">
        <v>40</v>
      </c>
      <c r="Q59">
        <v>31</v>
      </c>
      <c r="R59">
        <v>22</v>
      </c>
      <c r="S59">
        <v>21</v>
      </c>
      <c r="T59">
        <v>25</v>
      </c>
      <c r="U59" t="s">
        <v>286</v>
      </c>
      <c r="V59" t="s">
        <v>287</v>
      </c>
      <c r="W59" t="s">
        <v>16</v>
      </c>
      <c r="X59" t="s">
        <v>380</v>
      </c>
      <c r="Y59">
        <v>35.85</v>
      </c>
      <c r="Z59">
        <v>-77.03</v>
      </c>
      <c r="AA59" t="s">
        <v>18</v>
      </c>
    </row>
    <row r="60" spans="1:27" x14ac:dyDescent="0.3">
      <c r="A60">
        <v>67</v>
      </c>
      <c r="B60">
        <v>315340</v>
      </c>
      <c r="C60" t="s">
        <v>182</v>
      </c>
      <c r="D60" t="s">
        <v>354</v>
      </c>
      <c r="E60">
        <v>35.662999999999997</v>
      </c>
      <c r="F60">
        <v>-82.0291</v>
      </c>
      <c r="G60">
        <v>446.8</v>
      </c>
      <c r="H60" t="s">
        <v>823</v>
      </c>
      <c r="I60">
        <v>25</v>
      </c>
      <c r="J60">
        <v>28</v>
      </c>
      <c r="K60">
        <v>31</v>
      </c>
      <c r="L60">
        <v>29</v>
      </c>
      <c r="M60">
        <v>30</v>
      </c>
      <c r="N60">
        <v>33</v>
      </c>
      <c r="O60">
        <v>31</v>
      </c>
      <c r="P60">
        <v>30</v>
      </c>
      <c r="Q60">
        <v>32</v>
      </c>
      <c r="R60">
        <v>21</v>
      </c>
      <c r="S60">
        <v>27</v>
      </c>
      <c r="T60">
        <v>28</v>
      </c>
      <c r="U60" t="s">
        <v>183</v>
      </c>
      <c r="V60" t="s">
        <v>184</v>
      </c>
      <c r="W60" t="s">
        <v>16</v>
      </c>
      <c r="X60" t="s">
        <v>354</v>
      </c>
      <c r="Y60">
        <v>35.659999999999997</v>
      </c>
      <c r="Z60">
        <v>-82.03</v>
      </c>
      <c r="AA60" t="s">
        <v>18</v>
      </c>
    </row>
    <row r="61" spans="1:27" x14ac:dyDescent="0.3">
      <c r="A61">
        <v>144</v>
      </c>
      <c r="B61">
        <v>13881</v>
      </c>
      <c r="C61" t="s">
        <v>73</v>
      </c>
      <c r="D61" t="s">
        <v>322</v>
      </c>
      <c r="E61">
        <v>35.223599999999998</v>
      </c>
      <c r="F61">
        <v>-80.955200000000005</v>
      </c>
      <c r="G61">
        <v>221.9</v>
      </c>
      <c r="H61" t="s">
        <v>823</v>
      </c>
      <c r="I61">
        <v>23</v>
      </c>
      <c r="J61">
        <v>23</v>
      </c>
      <c r="K61">
        <v>30</v>
      </c>
      <c r="L61">
        <v>23</v>
      </c>
      <c r="M61">
        <v>20</v>
      </c>
      <c r="N61">
        <v>27</v>
      </c>
      <c r="O61">
        <v>23</v>
      </c>
      <c r="P61">
        <v>26</v>
      </c>
      <c r="Q61">
        <v>23</v>
      </c>
      <c r="R61">
        <v>20</v>
      </c>
      <c r="S61">
        <v>25</v>
      </c>
      <c r="T61">
        <v>23</v>
      </c>
      <c r="U61" t="s">
        <v>19</v>
      </c>
      <c r="V61" t="s">
        <v>19</v>
      </c>
      <c r="W61" t="s">
        <v>19</v>
      </c>
      <c r="X61" t="s">
        <v>19</v>
      </c>
      <c r="Y61" t="s">
        <v>19</v>
      </c>
      <c r="Z61" t="s">
        <v>19</v>
      </c>
      <c r="AA61" t="s">
        <v>19</v>
      </c>
    </row>
    <row r="62" spans="1:27" x14ac:dyDescent="0.3">
      <c r="D62" t="s">
        <v>707</v>
      </c>
      <c r="I62" s="11">
        <f>+I116</f>
        <v>33</v>
      </c>
      <c r="J62" s="11">
        <f t="shared" ref="J62:T62" si="10">+J116</f>
        <v>32</v>
      </c>
      <c r="K62" s="11">
        <f t="shared" si="10"/>
        <v>35</v>
      </c>
      <c r="L62" s="11">
        <f t="shared" si="10"/>
        <v>31</v>
      </c>
      <c r="M62" s="11">
        <f t="shared" si="10"/>
        <v>34</v>
      </c>
      <c r="N62" s="11">
        <f t="shared" si="10"/>
        <v>32</v>
      </c>
      <c r="O62" s="11">
        <f t="shared" si="10"/>
        <v>29</v>
      </c>
      <c r="P62" s="11">
        <f t="shared" si="10"/>
        <v>30</v>
      </c>
      <c r="Q62" s="11">
        <f t="shared" si="10"/>
        <v>26</v>
      </c>
      <c r="R62" s="11">
        <f t="shared" si="10"/>
        <v>23</v>
      </c>
      <c r="S62" s="11">
        <f t="shared" si="10"/>
        <v>31</v>
      </c>
      <c r="T62" s="11">
        <f t="shared" si="10"/>
        <v>29</v>
      </c>
    </row>
    <row r="63" spans="1:27" x14ac:dyDescent="0.3">
      <c r="A63">
        <v>53</v>
      </c>
      <c r="B63">
        <v>314464</v>
      </c>
      <c r="C63" t="s">
        <v>151</v>
      </c>
      <c r="D63" t="s">
        <v>346</v>
      </c>
      <c r="E63">
        <v>35.1858</v>
      </c>
      <c r="F63">
        <v>-79.677199999999999</v>
      </c>
      <c r="G63">
        <v>222.5</v>
      </c>
      <c r="H63" t="s">
        <v>823</v>
      </c>
      <c r="I63">
        <v>26</v>
      </c>
      <c r="J63">
        <v>25</v>
      </c>
      <c r="K63">
        <v>28</v>
      </c>
      <c r="L63">
        <v>22</v>
      </c>
      <c r="M63">
        <v>19</v>
      </c>
      <c r="N63">
        <v>27</v>
      </c>
      <c r="O63">
        <v>32</v>
      </c>
      <c r="P63">
        <v>33</v>
      </c>
      <c r="Q63">
        <v>24</v>
      </c>
      <c r="R63">
        <v>21</v>
      </c>
      <c r="S63">
        <v>24</v>
      </c>
      <c r="T63">
        <v>25</v>
      </c>
      <c r="U63" t="s">
        <v>152</v>
      </c>
      <c r="V63" t="s">
        <v>153</v>
      </c>
      <c r="W63" t="s">
        <v>16</v>
      </c>
      <c r="X63" t="s">
        <v>346</v>
      </c>
      <c r="Y63">
        <v>35.19</v>
      </c>
      <c r="Z63">
        <v>-79.680000000000007</v>
      </c>
      <c r="AA63" t="s">
        <v>18</v>
      </c>
    </row>
    <row r="64" spans="1:27" x14ac:dyDescent="0.3">
      <c r="A64">
        <v>14</v>
      </c>
      <c r="B64">
        <v>311515</v>
      </c>
      <c r="C64" t="s">
        <v>58</v>
      </c>
      <c r="D64" t="s">
        <v>317</v>
      </c>
      <c r="E64">
        <v>35.332000000000001</v>
      </c>
      <c r="F64">
        <v>-79.406599999999997</v>
      </c>
      <c r="G64">
        <v>134.1</v>
      </c>
      <c r="H64" t="s">
        <v>823</v>
      </c>
      <c r="I64">
        <v>29</v>
      </c>
      <c r="J64">
        <v>25</v>
      </c>
      <c r="K64">
        <v>29</v>
      </c>
      <c r="L64">
        <v>19</v>
      </c>
      <c r="M64">
        <v>21</v>
      </c>
      <c r="N64">
        <v>30</v>
      </c>
      <c r="O64">
        <v>34</v>
      </c>
      <c r="P64">
        <v>33</v>
      </c>
      <c r="Q64">
        <v>25</v>
      </c>
      <c r="R64">
        <v>20</v>
      </c>
      <c r="S64">
        <v>22</v>
      </c>
      <c r="T64">
        <v>25</v>
      </c>
      <c r="U64" t="s">
        <v>59</v>
      </c>
      <c r="V64" t="s">
        <v>60</v>
      </c>
      <c r="W64" t="s">
        <v>16</v>
      </c>
      <c r="X64" t="s">
        <v>317</v>
      </c>
      <c r="Y64">
        <v>35.33</v>
      </c>
      <c r="Z64">
        <v>-79.41</v>
      </c>
      <c r="AA64" t="s">
        <v>18</v>
      </c>
    </row>
    <row r="65" spans="1:27" x14ac:dyDescent="0.3">
      <c r="A65">
        <v>126</v>
      </c>
      <c r="B65">
        <v>13872</v>
      </c>
      <c r="C65" t="s">
        <v>824</v>
      </c>
      <c r="D65" t="s">
        <v>19</v>
      </c>
      <c r="E65">
        <v>35.595399999999998</v>
      </c>
      <c r="F65">
        <v>-82.556799999999996</v>
      </c>
      <c r="G65">
        <v>682.1</v>
      </c>
      <c r="H65" t="s">
        <v>823</v>
      </c>
      <c r="I65">
        <v>19</v>
      </c>
      <c r="J65">
        <v>19</v>
      </c>
      <c r="K65">
        <v>20</v>
      </c>
      <c r="L65">
        <v>23</v>
      </c>
      <c r="M65">
        <v>19</v>
      </c>
      <c r="N65">
        <v>23</v>
      </c>
      <c r="O65">
        <v>19</v>
      </c>
      <c r="P65">
        <v>22</v>
      </c>
      <c r="Q65">
        <v>20</v>
      </c>
      <c r="R65">
        <v>13</v>
      </c>
      <c r="S65">
        <v>19</v>
      </c>
      <c r="T65">
        <v>19</v>
      </c>
      <c r="U65" t="s">
        <v>19</v>
      </c>
      <c r="V65" t="s">
        <v>19</v>
      </c>
      <c r="W65" t="s">
        <v>19</v>
      </c>
      <c r="X65" t="s">
        <v>19</v>
      </c>
      <c r="Y65" t="s">
        <v>19</v>
      </c>
      <c r="Z65" t="s">
        <v>19</v>
      </c>
      <c r="AA65" t="s">
        <v>19</v>
      </c>
    </row>
    <row r="66" spans="1:27" x14ac:dyDescent="0.3">
      <c r="A66">
        <v>129</v>
      </c>
      <c r="B66">
        <v>3812</v>
      </c>
      <c r="C66" t="s">
        <v>29</v>
      </c>
      <c r="D66" t="s">
        <v>19</v>
      </c>
      <c r="E66">
        <v>35.431939999999997</v>
      </c>
      <c r="F66">
        <v>-82.537499999999994</v>
      </c>
      <c r="G66">
        <v>645.29999999999995</v>
      </c>
      <c r="H66" t="s">
        <v>823</v>
      </c>
      <c r="I66">
        <v>25</v>
      </c>
      <c r="J66">
        <v>24</v>
      </c>
      <c r="K66">
        <v>25</v>
      </c>
      <c r="L66">
        <v>25</v>
      </c>
      <c r="M66">
        <v>22</v>
      </c>
      <c r="N66">
        <v>31</v>
      </c>
      <c r="O66">
        <v>30</v>
      </c>
      <c r="P66">
        <v>25</v>
      </c>
      <c r="Q66">
        <v>27</v>
      </c>
      <c r="R66">
        <v>21</v>
      </c>
      <c r="S66">
        <v>24</v>
      </c>
      <c r="T66">
        <v>24</v>
      </c>
      <c r="U66" t="s">
        <v>19</v>
      </c>
      <c r="V66" t="s">
        <v>19</v>
      </c>
      <c r="W66" t="s">
        <v>19</v>
      </c>
      <c r="X66" t="s">
        <v>19</v>
      </c>
      <c r="Y66" t="s">
        <v>19</v>
      </c>
      <c r="Z66" t="s">
        <v>19</v>
      </c>
      <c r="AA66" t="s">
        <v>19</v>
      </c>
    </row>
    <row r="67" spans="1:27" x14ac:dyDescent="0.3">
      <c r="A67">
        <v>145</v>
      </c>
      <c r="B67">
        <v>311420</v>
      </c>
      <c r="C67" t="s">
        <v>831</v>
      </c>
      <c r="D67" t="s">
        <v>19</v>
      </c>
      <c r="E67">
        <v>35.545279999999998</v>
      </c>
      <c r="F67">
        <v>-82.698610000000002</v>
      </c>
      <c r="G67">
        <v>718.4</v>
      </c>
      <c r="H67" t="s">
        <v>823</v>
      </c>
      <c r="I67">
        <v>27</v>
      </c>
      <c r="J67">
        <v>19</v>
      </c>
      <c r="K67">
        <v>27</v>
      </c>
      <c r="L67">
        <v>25</v>
      </c>
      <c r="M67">
        <v>23</v>
      </c>
      <c r="N67">
        <v>29</v>
      </c>
      <c r="O67">
        <v>24</v>
      </c>
      <c r="P67">
        <v>31</v>
      </c>
      <c r="Q67">
        <v>25</v>
      </c>
      <c r="R67">
        <v>12</v>
      </c>
      <c r="S67">
        <v>21</v>
      </c>
      <c r="T67">
        <v>19</v>
      </c>
      <c r="U67" t="s">
        <v>19</v>
      </c>
      <c r="V67" t="s">
        <v>19</v>
      </c>
      <c r="W67" t="s">
        <v>19</v>
      </c>
      <c r="X67" t="s">
        <v>19</v>
      </c>
      <c r="Y67" t="s">
        <v>19</v>
      </c>
      <c r="Z67" t="s">
        <v>19</v>
      </c>
      <c r="AA67" t="s">
        <v>19</v>
      </c>
    </row>
    <row r="68" spans="1:27" x14ac:dyDescent="0.3">
      <c r="A68">
        <v>146</v>
      </c>
      <c r="B68">
        <v>311437</v>
      </c>
      <c r="C68" t="s">
        <v>832</v>
      </c>
      <c r="D68" t="s">
        <v>19</v>
      </c>
      <c r="E68">
        <v>35.7044</v>
      </c>
      <c r="F68">
        <v>-82.7697</v>
      </c>
      <c r="G68">
        <v>620.9</v>
      </c>
      <c r="H68" t="s">
        <v>823</v>
      </c>
      <c r="I68">
        <v>24</v>
      </c>
      <c r="J68">
        <v>23</v>
      </c>
      <c r="K68">
        <v>27</v>
      </c>
      <c r="L68">
        <v>25</v>
      </c>
      <c r="M68">
        <v>23</v>
      </c>
      <c r="N68">
        <v>34</v>
      </c>
      <c r="O68">
        <v>31</v>
      </c>
      <c r="P68">
        <v>26</v>
      </c>
      <c r="Q68">
        <v>24</v>
      </c>
      <c r="R68">
        <v>12</v>
      </c>
      <c r="S68">
        <v>15</v>
      </c>
      <c r="T68">
        <v>18</v>
      </c>
      <c r="U68" t="s">
        <v>19</v>
      </c>
      <c r="V68" t="s">
        <v>19</v>
      </c>
      <c r="W68" t="s">
        <v>19</v>
      </c>
      <c r="X68" t="s">
        <v>19</v>
      </c>
      <c r="Y68" t="s">
        <v>19</v>
      </c>
      <c r="Z68" t="s">
        <v>19</v>
      </c>
      <c r="AA68" t="s">
        <v>19</v>
      </c>
    </row>
    <row r="69" spans="1:27" x14ac:dyDescent="0.3">
      <c r="A69">
        <v>147</v>
      </c>
      <c r="B69">
        <v>93729</v>
      </c>
      <c r="C69" t="s">
        <v>833</v>
      </c>
      <c r="D69" t="s">
        <v>19</v>
      </c>
      <c r="E69">
        <v>35.232599999999998</v>
      </c>
      <c r="F69">
        <v>-75.621899999999997</v>
      </c>
      <c r="G69">
        <v>3.4</v>
      </c>
      <c r="H69" t="s">
        <v>823</v>
      </c>
      <c r="I69">
        <v>34</v>
      </c>
      <c r="J69">
        <v>28</v>
      </c>
      <c r="K69">
        <v>31</v>
      </c>
      <c r="L69">
        <v>26</v>
      </c>
      <c r="M69">
        <v>23</v>
      </c>
      <c r="N69">
        <v>28</v>
      </c>
      <c r="O69">
        <v>31</v>
      </c>
      <c r="P69">
        <v>39</v>
      </c>
      <c r="Q69">
        <v>34</v>
      </c>
      <c r="R69">
        <v>30</v>
      </c>
      <c r="S69">
        <v>30</v>
      </c>
      <c r="T69">
        <v>30</v>
      </c>
      <c r="U69" t="s">
        <v>19</v>
      </c>
      <c r="V69" t="s">
        <v>19</v>
      </c>
      <c r="W69" t="s">
        <v>19</v>
      </c>
      <c r="X69" t="s">
        <v>19</v>
      </c>
      <c r="Y69" t="s">
        <v>19</v>
      </c>
      <c r="Z69" t="s">
        <v>19</v>
      </c>
      <c r="AA69" t="s">
        <v>19</v>
      </c>
    </row>
    <row r="70" spans="1:27" x14ac:dyDescent="0.3">
      <c r="A70">
        <v>158</v>
      </c>
      <c r="B70">
        <v>13754</v>
      </c>
      <c r="C70" t="s">
        <v>837</v>
      </c>
      <c r="D70" t="s">
        <v>19</v>
      </c>
      <c r="E70">
        <v>34.9</v>
      </c>
      <c r="F70">
        <v>-76.883330000000001</v>
      </c>
      <c r="G70">
        <v>8.8000000000000007</v>
      </c>
      <c r="H70" t="s">
        <v>823</v>
      </c>
      <c r="I70">
        <v>28</v>
      </c>
      <c r="J70">
        <v>25</v>
      </c>
      <c r="K70">
        <v>28</v>
      </c>
      <c r="L70">
        <v>21</v>
      </c>
      <c r="M70">
        <v>30</v>
      </c>
      <c r="N70">
        <v>33</v>
      </c>
      <c r="O70">
        <v>49</v>
      </c>
      <c r="P70">
        <v>44</v>
      </c>
      <c r="Q70">
        <v>36</v>
      </c>
      <c r="R70">
        <v>22</v>
      </c>
      <c r="S70">
        <v>23</v>
      </c>
      <c r="T70">
        <v>25</v>
      </c>
      <c r="U70" t="s">
        <v>19</v>
      </c>
      <c r="V70" t="s">
        <v>19</v>
      </c>
      <c r="W70" t="s">
        <v>19</v>
      </c>
      <c r="X70" t="s">
        <v>19</v>
      </c>
      <c r="Y70" t="s">
        <v>19</v>
      </c>
      <c r="Z70" t="s">
        <v>19</v>
      </c>
      <c r="AA70" t="s">
        <v>19</v>
      </c>
    </row>
    <row r="71" spans="1:27" x14ac:dyDescent="0.3">
      <c r="A71">
        <v>161</v>
      </c>
      <c r="B71">
        <v>13786</v>
      </c>
      <c r="C71" t="s">
        <v>839</v>
      </c>
      <c r="D71" t="s">
        <v>19</v>
      </c>
      <c r="E71">
        <v>36.260559999999998</v>
      </c>
      <c r="F71">
        <v>-76.174999999999997</v>
      </c>
      <c r="G71">
        <v>4</v>
      </c>
      <c r="H71" t="s">
        <v>823</v>
      </c>
      <c r="I71">
        <v>16</v>
      </c>
      <c r="J71">
        <v>20</v>
      </c>
      <c r="K71">
        <v>25</v>
      </c>
      <c r="L71">
        <v>19</v>
      </c>
      <c r="M71">
        <v>28</v>
      </c>
      <c r="N71">
        <v>32</v>
      </c>
      <c r="O71">
        <v>33</v>
      </c>
      <c r="P71">
        <v>34</v>
      </c>
      <c r="Q71">
        <v>25</v>
      </c>
      <c r="R71">
        <v>16</v>
      </c>
      <c r="S71">
        <v>21</v>
      </c>
      <c r="T71">
        <v>20</v>
      </c>
      <c r="U71" t="s">
        <v>19</v>
      </c>
      <c r="V71" t="s">
        <v>19</v>
      </c>
      <c r="W71" t="s">
        <v>19</v>
      </c>
      <c r="X71" t="s">
        <v>19</v>
      </c>
      <c r="Y71" t="s">
        <v>19</v>
      </c>
      <c r="Z71" t="s">
        <v>19</v>
      </c>
      <c r="AA71" t="s">
        <v>19</v>
      </c>
    </row>
    <row r="72" spans="1:27" x14ac:dyDescent="0.3">
      <c r="A72">
        <v>181</v>
      </c>
      <c r="B72">
        <v>13714</v>
      </c>
      <c r="C72" t="s">
        <v>842</v>
      </c>
      <c r="D72" t="s">
        <v>19</v>
      </c>
      <c r="E72">
        <v>35.17389</v>
      </c>
      <c r="F72">
        <v>-79.008889999999994</v>
      </c>
      <c r="G72">
        <v>66.400000000000006</v>
      </c>
      <c r="H72" t="s">
        <v>823</v>
      </c>
      <c r="I72">
        <v>27</v>
      </c>
      <c r="J72">
        <v>25</v>
      </c>
      <c r="K72">
        <v>30</v>
      </c>
      <c r="L72">
        <v>20</v>
      </c>
      <c r="M72">
        <v>20</v>
      </c>
      <c r="N72">
        <v>32</v>
      </c>
      <c r="O72">
        <v>35</v>
      </c>
      <c r="P72">
        <v>31</v>
      </c>
      <c r="Q72">
        <v>25</v>
      </c>
      <c r="R72">
        <v>22</v>
      </c>
      <c r="S72">
        <v>21</v>
      </c>
      <c r="T72">
        <v>20</v>
      </c>
      <c r="U72" t="s">
        <v>19</v>
      </c>
      <c r="V72" t="s">
        <v>19</v>
      </c>
      <c r="W72" t="s">
        <v>19</v>
      </c>
      <c r="X72" t="s">
        <v>19</v>
      </c>
      <c r="Y72" t="s">
        <v>19</v>
      </c>
      <c r="Z72" t="s">
        <v>19</v>
      </c>
      <c r="AA72" t="s">
        <v>19</v>
      </c>
    </row>
    <row r="73" spans="1:27" x14ac:dyDescent="0.3">
      <c r="A73">
        <v>154</v>
      </c>
      <c r="B73">
        <v>13723</v>
      </c>
      <c r="C73" t="s">
        <v>132</v>
      </c>
      <c r="D73" t="s">
        <v>19</v>
      </c>
      <c r="E73">
        <v>36.083329999999997</v>
      </c>
      <c r="F73">
        <v>-79.95</v>
      </c>
      <c r="G73">
        <v>271.3</v>
      </c>
      <c r="H73" t="s">
        <v>823</v>
      </c>
      <c r="I73">
        <v>23</v>
      </c>
      <c r="J73">
        <v>20</v>
      </c>
      <c r="K73">
        <v>25</v>
      </c>
      <c r="L73">
        <v>24</v>
      </c>
      <c r="M73">
        <v>24</v>
      </c>
      <c r="N73">
        <v>27</v>
      </c>
      <c r="O73">
        <v>29</v>
      </c>
      <c r="P73">
        <v>23</v>
      </c>
      <c r="Q73">
        <v>29</v>
      </c>
      <c r="R73">
        <v>22</v>
      </c>
      <c r="S73">
        <v>21</v>
      </c>
      <c r="T73">
        <v>22</v>
      </c>
      <c r="U73" t="s">
        <v>19</v>
      </c>
      <c r="V73" t="s">
        <v>19</v>
      </c>
      <c r="W73" t="s">
        <v>19</v>
      </c>
      <c r="X73" t="s">
        <v>19</v>
      </c>
      <c r="Y73" t="s">
        <v>19</v>
      </c>
      <c r="Z73" t="s">
        <v>19</v>
      </c>
      <c r="AA73" t="s">
        <v>19</v>
      </c>
    </row>
    <row r="74" spans="1:27" x14ac:dyDescent="0.3">
      <c r="A74">
        <v>125</v>
      </c>
      <c r="B74">
        <v>316349</v>
      </c>
      <c r="C74" t="s">
        <v>206</v>
      </c>
      <c r="D74" t="s">
        <v>19</v>
      </c>
      <c r="E74">
        <v>35.107500000000002</v>
      </c>
      <c r="F74">
        <v>-75.987200000000001</v>
      </c>
      <c r="G74">
        <v>1.2</v>
      </c>
      <c r="H74" t="s">
        <v>823</v>
      </c>
      <c r="I74">
        <v>25</v>
      </c>
      <c r="J74">
        <v>26</v>
      </c>
      <c r="K74">
        <v>23</v>
      </c>
      <c r="L74">
        <v>27</v>
      </c>
      <c r="M74">
        <v>24</v>
      </c>
      <c r="N74">
        <v>26</v>
      </c>
      <c r="O74">
        <v>31</v>
      </c>
      <c r="P74">
        <v>40</v>
      </c>
      <c r="Q74">
        <v>42</v>
      </c>
      <c r="R74">
        <v>26</v>
      </c>
      <c r="S74">
        <v>22</v>
      </c>
      <c r="T74">
        <v>29</v>
      </c>
      <c r="U74" t="s">
        <v>19</v>
      </c>
      <c r="V74" t="s">
        <v>19</v>
      </c>
      <c r="W74" t="s">
        <v>19</v>
      </c>
      <c r="X74" t="s">
        <v>19</v>
      </c>
      <c r="Y74" t="s">
        <v>19</v>
      </c>
      <c r="Z74" t="s">
        <v>19</v>
      </c>
      <c r="AA74" t="s">
        <v>19</v>
      </c>
    </row>
    <row r="75" spans="1:27" x14ac:dyDescent="0.3">
      <c r="A75">
        <v>133</v>
      </c>
      <c r="B75">
        <v>13722</v>
      </c>
      <c r="C75" t="s">
        <v>870</v>
      </c>
      <c r="D75" t="s">
        <v>19</v>
      </c>
      <c r="E75">
        <v>35.866669999999999</v>
      </c>
      <c r="F75">
        <v>-78.783330000000007</v>
      </c>
      <c r="G75">
        <v>126.8</v>
      </c>
      <c r="H75" t="s">
        <v>823</v>
      </c>
      <c r="I75">
        <v>23</v>
      </c>
      <c r="J75">
        <v>23</v>
      </c>
      <c r="K75">
        <v>30</v>
      </c>
      <c r="L75">
        <v>18</v>
      </c>
      <c r="M75">
        <v>24</v>
      </c>
      <c r="N75">
        <v>23</v>
      </c>
      <c r="O75">
        <v>34</v>
      </c>
      <c r="P75">
        <v>25</v>
      </c>
      <c r="Q75">
        <v>28</v>
      </c>
      <c r="R75">
        <v>19</v>
      </c>
      <c r="S75">
        <v>23</v>
      </c>
      <c r="T75">
        <v>22</v>
      </c>
      <c r="U75" t="s">
        <v>19</v>
      </c>
      <c r="V75" t="s">
        <v>19</v>
      </c>
      <c r="W75" t="s">
        <v>19</v>
      </c>
      <c r="X75" t="s">
        <v>19</v>
      </c>
      <c r="Y75" t="s">
        <v>19</v>
      </c>
      <c r="Z75" t="s">
        <v>19</v>
      </c>
      <c r="AA75" t="s">
        <v>19</v>
      </c>
    </row>
    <row r="76" spans="1:27" x14ac:dyDescent="0.3">
      <c r="A76">
        <v>188</v>
      </c>
      <c r="B76">
        <v>317725</v>
      </c>
      <c r="C76" t="s">
        <v>241</v>
      </c>
      <c r="D76" t="s">
        <v>19</v>
      </c>
      <c r="E76">
        <v>36.136899999999997</v>
      </c>
      <c r="F76">
        <v>-77.423100000000005</v>
      </c>
      <c r="G76">
        <v>30.5</v>
      </c>
      <c r="H76" t="s">
        <v>823</v>
      </c>
      <c r="I76">
        <v>26</v>
      </c>
      <c r="J76">
        <v>20</v>
      </c>
      <c r="K76">
        <v>30</v>
      </c>
      <c r="L76">
        <v>24</v>
      </c>
      <c r="M76">
        <v>24</v>
      </c>
      <c r="N76">
        <v>29</v>
      </c>
      <c r="O76">
        <v>34</v>
      </c>
      <c r="P76">
        <v>33</v>
      </c>
      <c r="Q76">
        <v>31</v>
      </c>
      <c r="R76">
        <v>19</v>
      </c>
      <c r="S76">
        <v>20</v>
      </c>
      <c r="T76">
        <v>26</v>
      </c>
      <c r="U76" t="s">
        <v>19</v>
      </c>
      <c r="V76" t="s">
        <v>19</v>
      </c>
      <c r="W76" t="s">
        <v>19</v>
      </c>
      <c r="X76" t="s">
        <v>19</v>
      </c>
      <c r="Y76" t="s">
        <v>19</v>
      </c>
      <c r="Z76" t="s">
        <v>19</v>
      </c>
      <c r="AA76" t="s">
        <v>19</v>
      </c>
    </row>
    <row r="77" spans="1:27" x14ac:dyDescent="0.3">
      <c r="A77">
        <v>167</v>
      </c>
      <c r="B77">
        <v>319354</v>
      </c>
      <c r="C77" t="s">
        <v>874</v>
      </c>
      <c r="D77" t="s">
        <v>19</v>
      </c>
      <c r="E77">
        <v>34.257199999999997</v>
      </c>
      <c r="F77">
        <v>-78.687200000000004</v>
      </c>
      <c r="G77">
        <v>15.2</v>
      </c>
      <c r="H77" t="s">
        <v>823</v>
      </c>
      <c r="I77">
        <v>29</v>
      </c>
      <c r="J77">
        <v>24</v>
      </c>
      <c r="K77">
        <v>24</v>
      </c>
      <c r="L77">
        <v>21</v>
      </c>
      <c r="M77">
        <v>26</v>
      </c>
      <c r="N77">
        <v>32</v>
      </c>
      <c r="O77">
        <v>38</v>
      </c>
      <c r="P77">
        <v>39</v>
      </c>
      <c r="Q77">
        <v>34</v>
      </c>
      <c r="R77">
        <v>22</v>
      </c>
      <c r="S77">
        <v>27</v>
      </c>
      <c r="T77">
        <v>23</v>
      </c>
      <c r="U77" t="s">
        <v>19</v>
      </c>
      <c r="V77" t="s">
        <v>19</v>
      </c>
      <c r="W77" t="s">
        <v>19</v>
      </c>
      <c r="X77" t="s">
        <v>19</v>
      </c>
      <c r="Y77" t="s">
        <v>19</v>
      </c>
      <c r="Z77" t="s">
        <v>19</v>
      </c>
      <c r="AA77" t="s">
        <v>19</v>
      </c>
    </row>
    <row r="78" spans="1:27" x14ac:dyDescent="0.3">
      <c r="A78">
        <v>180</v>
      </c>
      <c r="B78">
        <v>13748</v>
      </c>
      <c r="C78" t="s">
        <v>290</v>
      </c>
      <c r="D78" t="s">
        <v>19</v>
      </c>
      <c r="E78">
        <v>34.267499999999998</v>
      </c>
      <c r="F78">
        <v>-77.899699999999996</v>
      </c>
      <c r="G78">
        <v>10.1</v>
      </c>
      <c r="H78" t="s">
        <v>823</v>
      </c>
      <c r="I78">
        <v>26</v>
      </c>
      <c r="J78">
        <v>26</v>
      </c>
      <c r="K78">
        <v>28</v>
      </c>
      <c r="L78">
        <v>15</v>
      </c>
      <c r="M78">
        <v>25</v>
      </c>
      <c r="N78">
        <v>34</v>
      </c>
      <c r="O78">
        <v>45</v>
      </c>
      <c r="P78">
        <v>44</v>
      </c>
      <c r="Q78">
        <v>37</v>
      </c>
      <c r="R78">
        <v>22</v>
      </c>
      <c r="S78">
        <v>20</v>
      </c>
      <c r="T78">
        <v>25</v>
      </c>
      <c r="U78" t="s">
        <v>19</v>
      </c>
      <c r="V78" t="s">
        <v>19</v>
      </c>
      <c r="W78" t="s">
        <v>19</v>
      </c>
      <c r="X78" t="s">
        <v>19</v>
      </c>
      <c r="Y78" t="s">
        <v>19</v>
      </c>
      <c r="Z78" t="s">
        <v>19</v>
      </c>
      <c r="AA78" t="s">
        <v>19</v>
      </c>
    </row>
    <row r="79" spans="1:27" x14ac:dyDescent="0.3">
      <c r="A79">
        <v>166</v>
      </c>
      <c r="B79">
        <v>319923</v>
      </c>
      <c r="C79" t="s">
        <v>878</v>
      </c>
      <c r="D79" t="s">
        <v>19</v>
      </c>
      <c r="E79">
        <v>35.787799999999997</v>
      </c>
      <c r="F79">
        <v>-78.349699999999999</v>
      </c>
      <c r="G79">
        <v>79.2</v>
      </c>
      <c r="H79" t="s">
        <v>823</v>
      </c>
      <c r="I79">
        <v>28</v>
      </c>
      <c r="J79">
        <v>22</v>
      </c>
      <c r="K79">
        <v>33</v>
      </c>
      <c r="L79">
        <v>23</v>
      </c>
      <c r="M79">
        <v>26</v>
      </c>
      <c r="N79">
        <v>24</v>
      </c>
      <c r="O79">
        <v>33</v>
      </c>
      <c r="P79">
        <v>35</v>
      </c>
      <c r="Q79">
        <v>26</v>
      </c>
      <c r="R79">
        <v>21</v>
      </c>
      <c r="S79">
        <v>28</v>
      </c>
      <c r="T79">
        <v>24</v>
      </c>
      <c r="U79" t="s">
        <v>19</v>
      </c>
      <c r="V79" t="s">
        <v>19</v>
      </c>
      <c r="W79" t="s">
        <v>19</v>
      </c>
      <c r="X79" t="s">
        <v>19</v>
      </c>
      <c r="Y79" t="s">
        <v>19</v>
      </c>
      <c r="Z79" t="s">
        <v>19</v>
      </c>
      <c r="AA79" t="s">
        <v>19</v>
      </c>
    </row>
    <row r="80" spans="1:27" x14ac:dyDescent="0.3">
      <c r="A80">
        <v>91</v>
      </c>
      <c r="B80">
        <v>317395</v>
      </c>
      <c r="C80" t="s">
        <v>871</v>
      </c>
      <c r="D80" t="s">
        <v>364</v>
      </c>
      <c r="E80">
        <v>35.951999999999998</v>
      </c>
      <c r="F80">
        <v>-77.818399999999997</v>
      </c>
      <c r="G80">
        <v>39.6</v>
      </c>
      <c r="H80" t="s">
        <v>823</v>
      </c>
      <c r="I80">
        <v>24</v>
      </c>
      <c r="J80">
        <v>23</v>
      </c>
      <c r="K80">
        <v>30</v>
      </c>
      <c r="L80">
        <v>23</v>
      </c>
      <c r="M80">
        <v>22</v>
      </c>
      <c r="N80">
        <v>27</v>
      </c>
      <c r="O80">
        <v>33</v>
      </c>
      <c r="P80">
        <v>36</v>
      </c>
      <c r="Q80">
        <v>24</v>
      </c>
      <c r="R80">
        <v>21</v>
      </c>
      <c r="S80">
        <v>19</v>
      </c>
      <c r="T80">
        <v>26</v>
      </c>
      <c r="U80" t="s">
        <v>223</v>
      </c>
      <c r="V80" t="s">
        <v>223</v>
      </c>
      <c r="W80" t="s">
        <v>16</v>
      </c>
      <c r="X80" t="s">
        <v>364</v>
      </c>
      <c r="Y80">
        <v>35.950000000000003</v>
      </c>
      <c r="Z80">
        <v>-77.819999999999993</v>
      </c>
      <c r="AA80" t="s">
        <v>18</v>
      </c>
    </row>
    <row r="81" spans="1:27" x14ac:dyDescent="0.3">
      <c r="A81">
        <v>119</v>
      </c>
      <c r="B81">
        <v>319467</v>
      </c>
      <c r="C81" t="s">
        <v>875</v>
      </c>
      <c r="D81" t="s">
        <v>381</v>
      </c>
      <c r="E81">
        <v>34.320799999999998</v>
      </c>
      <c r="F81">
        <v>-77.920500000000004</v>
      </c>
      <c r="G81">
        <v>12.2</v>
      </c>
      <c r="H81" t="s">
        <v>823</v>
      </c>
      <c r="I81">
        <v>29</v>
      </c>
      <c r="J81">
        <v>25</v>
      </c>
      <c r="K81">
        <v>28</v>
      </c>
      <c r="L81">
        <v>19</v>
      </c>
      <c r="M81">
        <v>26</v>
      </c>
      <c r="N81">
        <v>33</v>
      </c>
      <c r="O81">
        <v>48</v>
      </c>
      <c r="P81">
        <v>43</v>
      </c>
      <c r="Q81">
        <v>39</v>
      </c>
      <c r="R81">
        <v>22</v>
      </c>
      <c r="S81">
        <v>20</v>
      </c>
      <c r="T81">
        <v>26</v>
      </c>
      <c r="U81" t="s">
        <v>876</v>
      </c>
      <c r="V81" t="s">
        <v>877</v>
      </c>
      <c r="W81" t="s">
        <v>16</v>
      </c>
      <c r="X81" t="s">
        <v>381</v>
      </c>
      <c r="Y81">
        <v>34.32</v>
      </c>
      <c r="Z81">
        <v>-77.92</v>
      </c>
      <c r="AA81" t="s">
        <v>18</v>
      </c>
    </row>
    <row r="82" spans="1:27" x14ac:dyDescent="0.3">
      <c r="A82">
        <v>52</v>
      </c>
      <c r="B82">
        <v>314456</v>
      </c>
      <c r="C82" t="s">
        <v>148</v>
      </c>
      <c r="D82" t="s">
        <v>345</v>
      </c>
      <c r="E82">
        <v>36.396700000000003</v>
      </c>
      <c r="F82">
        <v>-77.423900000000003</v>
      </c>
      <c r="G82">
        <v>39.6</v>
      </c>
      <c r="H82" t="s">
        <v>823</v>
      </c>
      <c r="I82">
        <v>25</v>
      </c>
      <c r="J82">
        <v>20</v>
      </c>
      <c r="K82">
        <v>32</v>
      </c>
      <c r="L82">
        <v>22</v>
      </c>
      <c r="M82">
        <v>28</v>
      </c>
      <c r="N82">
        <v>25</v>
      </c>
      <c r="O82">
        <v>34</v>
      </c>
      <c r="P82">
        <v>34</v>
      </c>
      <c r="Q82">
        <v>25</v>
      </c>
      <c r="R82">
        <v>20</v>
      </c>
      <c r="S82">
        <v>21</v>
      </c>
      <c r="T82">
        <v>22</v>
      </c>
      <c r="U82" t="s">
        <v>149</v>
      </c>
      <c r="V82" t="s">
        <v>149</v>
      </c>
      <c r="W82" t="s">
        <v>16</v>
      </c>
      <c r="X82" t="s">
        <v>345</v>
      </c>
      <c r="Y82">
        <v>36.4</v>
      </c>
      <c r="Z82">
        <v>-77.42</v>
      </c>
      <c r="AA82" t="s">
        <v>18</v>
      </c>
    </row>
    <row r="83" spans="1:27" x14ac:dyDescent="0.3">
      <c r="A83">
        <v>50</v>
      </c>
      <c r="B83">
        <v>314144</v>
      </c>
      <c r="C83" t="s">
        <v>852</v>
      </c>
      <c r="D83" t="s">
        <v>343</v>
      </c>
      <c r="E83">
        <v>34.835799999999999</v>
      </c>
      <c r="F83">
        <v>-77.302999999999997</v>
      </c>
      <c r="G83">
        <v>14.3</v>
      </c>
      <c r="H83" t="s">
        <v>823</v>
      </c>
      <c r="I83">
        <v>32</v>
      </c>
      <c r="J83">
        <v>25</v>
      </c>
      <c r="K83">
        <v>30</v>
      </c>
      <c r="L83">
        <v>22</v>
      </c>
      <c r="M83">
        <v>28</v>
      </c>
      <c r="N83">
        <v>35</v>
      </c>
      <c r="O83">
        <v>44</v>
      </c>
      <c r="P83">
        <v>50</v>
      </c>
      <c r="Q83">
        <v>33</v>
      </c>
      <c r="R83">
        <v>21</v>
      </c>
      <c r="S83">
        <v>23</v>
      </c>
      <c r="T83">
        <v>24</v>
      </c>
      <c r="U83" t="s">
        <v>853</v>
      </c>
      <c r="V83" t="s">
        <v>854</v>
      </c>
      <c r="W83" t="s">
        <v>16</v>
      </c>
      <c r="X83" t="s">
        <v>343</v>
      </c>
      <c r="Y83">
        <v>34.840000000000003</v>
      </c>
      <c r="Z83">
        <v>-77.3</v>
      </c>
      <c r="AA83" t="s">
        <v>18</v>
      </c>
    </row>
    <row r="84" spans="1:27" x14ac:dyDescent="0.3">
      <c r="A84">
        <v>20</v>
      </c>
      <c r="B84">
        <v>311677</v>
      </c>
      <c r="C84" t="s">
        <v>834</v>
      </c>
      <c r="D84" t="s">
        <v>321</v>
      </c>
      <c r="E84">
        <v>35.9086</v>
      </c>
      <c r="F84">
        <v>-79.079400000000007</v>
      </c>
      <c r="G84">
        <v>152.4</v>
      </c>
      <c r="H84" t="s">
        <v>823</v>
      </c>
      <c r="I84">
        <v>27</v>
      </c>
      <c r="J84">
        <v>27</v>
      </c>
      <c r="K84">
        <v>30</v>
      </c>
      <c r="L84">
        <v>22</v>
      </c>
      <c r="M84">
        <v>26</v>
      </c>
      <c r="N84">
        <v>26</v>
      </c>
      <c r="O84">
        <v>30</v>
      </c>
      <c r="P84">
        <v>29</v>
      </c>
      <c r="Q84">
        <v>25</v>
      </c>
      <c r="R84">
        <v>23</v>
      </c>
      <c r="S84">
        <v>25</v>
      </c>
      <c r="T84">
        <v>24</v>
      </c>
      <c r="U84" t="s">
        <v>835</v>
      </c>
      <c r="V84" t="s">
        <v>836</v>
      </c>
      <c r="W84" t="s">
        <v>16</v>
      </c>
      <c r="X84" t="s">
        <v>321</v>
      </c>
      <c r="Y84">
        <v>35.909999999999997</v>
      </c>
      <c r="Z84">
        <v>-79.08</v>
      </c>
      <c r="AA84" t="s">
        <v>18</v>
      </c>
    </row>
    <row r="85" spans="1:27" x14ac:dyDescent="0.3">
      <c r="A85">
        <v>6</v>
      </c>
      <c r="B85">
        <v>310576</v>
      </c>
      <c r="C85" t="s">
        <v>38</v>
      </c>
      <c r="D85" t="s">
        <v>310</v>
      </c>
      <c r="E85">
        <v>35.131100000000004</v>
      </c>
      <c r="F85">
        <v>-76.816000000000003</v>
      </c>
      <c r="G85">
        <v>1.5</v>
      </c>
      <c r="H85" t="s">
        <v>823</v>
      </c>
      <c r="I85">
        <v>27</v>
      </c>
      <c r="J85">
        <v>22</v>
      </c>
      <c r="K85">
        <v>29</v>
      </c>
      <c r="L85">
        <v>24</v>
      </c>
      <c r="M85">
        <v>29</v>
      </c>
      <c r="N85">
        <v>37</v>
      </c>
      <c r="O85">
        <v>43</v>
      </c>
      <c r="P85">
        <v>44</v>
      </c>
      <c r="Q85">
        <v>34</v>
      </c>
      <c r="R85">
        <v>25</v>
      </c>
      <c r="S85">
        <v>22</v>
      </c>
      <c r="T85">
        <v>23</v>
      </c>
      <c r="U85" t="s">
        <v>39</v>
      </c>
      <c r="V85" t="s">
        <v>40</v>
      </c>
      <c r="W85" t="s">
        <v>16</v>
      </c>
      <c r="X85" t="s">
        <v>310</v>
      </c>
      <c r="Y85">
        <v>35.130000000000003</v>
      </c>
      <c r="Z85">
        <v>-76.819999999999993</v>
      </c>
      <c r="AA85" t="s">
        <v>18</v>
      </c>
    </row>
    <row r="86" spans="1:27" x14ac:dyDescent="0.3">
      <c r="A86">
        <v>32</v>
      </c>
      <c r="B86">
        <v>312719</v>
      </c>
      <c r="C86" t="s">
        <v>108</v>
      </c>
      <c r="D86" t="s">
        <v>332</v>
      </c>
      <c r="E86">
        <v>36.309719999999999</v>
      </c>
      <c r="F86">
        <v>-76.204999999999998</v>
      </c>
      <c r="G86">
        <v>2.4</v>
      </c>
      <c r="H86" t="s">
        <v>823</v>
      </c>
      <c r="I86">
        <v>27</v>
      </c>
      <c r="J86">
        <v>23</v>
      </c>
      <c r="K86">
        <v>26</v>
      </c>
      <c r="L86">
        <v>20</v>
      </c>
      <c r="M86">
        <v>26</v>
      </c>
      <c r="N86">
        <v>31</v>
      </c>
      <c r="O86">
        <v>36</v>
      </c>
      <c r="P86">
        <v>39</v>
      </c>
      <c r="Q86">
        <v>29</v>
      </c>
      <c r="R86">
        <v>20</v>
      </c>
      <c r="S86">
        <v>24</v>
      </c>
      <c r="T86">
        <v>24</v>
      </c>
      <c r="U86" t="s">
        <v>109</v>
      </c>
      <c r="V86" t="s">
        <v>109</v>
      </c>
      <c r="W86" t="s">
        <v>16</v>
      </c>
      <c r="X86" t="s">
        <v>332</v>
      </c>
      <c r="Y86">
        <v>36.31</v>
      </c>
      <c r="Z86">
        <v>-76.209999999999994</v>
      </c>
      <c r="AA86" t="s">
        <v>18</v>
      </c>
    </row>
    <row r="87" spans="1:27" x14ac:dyDescent="0.3">
      <c r="A87">
        <v>117</v>
      </c>
      <c r="B87">
        <v>319423</v>
      </c>
      <c r="C87" t="s">
        <v>282</v>
      </c>
      <c r="D87" t="s">
        <v>372</v>
      </c>
      <c r="E87">
        <v>34.661200000000001</v>
      </c>
      <c r="F87">
        <v>-78.045500000000004</v>
      </c>
      <c r="G87">
        <v>16.8</v>
      </c>
      <c r="H87" t="s">
        <v>823</v>
      </c>
      <c r="I87">
        <v>28</v>
      </c>
      <c r="J87">
        <v>25</v>
      </c>
      <c r="K87">
        <v>29</v>
      </c>
      <c r="L87">
        <v>24</v>
      </c>
      <c r="M87">
        <v>28</v>
      </c>
      <c r="N87">
        <v>34</v>
      </c>
      <c r="O87">
        <v>43</v>
      </c>
      <c r="P87">
        <v>40</v>
      </c>
      <c r="Q87">
        <v>35</v>
      </c>
      <c r="R87">
        <v>20</v>
      </c>
      <c r="S87">
        <v>19</v>
      </c>
      <c r="T87">
        <v>21</v>
      </c>
      <c r="U87" t="s">
        <v>283</v>
      </c>
      <c r="V87" t="s">
        <v>284</v>
      </c>
      <c r="W87" t="s">
        <v>16</v>
      </c>
      <c r="X87" t="s">
        <v>372</v>
      </c>
      <c r="Y87">
        <v>34.659999999999997</v>
      </c>
      <c r="Z87">
        <v>-78.05</v>
      </c>
      <c r="AA87" t="s">
        <v>18</v>
      </c>
    </row>
    <row r="88" spans="1:27" x14ac:dyDescent="0.3">
      <c r="D88" t="s">
        <v>714</v>
      </c>
      <c r="I88" s="11">
        <f>+I86</f>
        <v>27</v>
      </c>
      <c r="J88" s="11">
        <f t="shared" ref="J88:T88" si="11">+J86</f>
        <v>23</v>
      </c>
      <c r="K88" s="11">
        <f t="shared" si="11"/>
        <v>26</v>
      </c>
      <c r="L88" s="11">
        <f t="shared" si="11"/>
        <v>20</v>
      </c>
      <c r="M88" s="11">
        <f t="shared" si="11"/>
        <v>26</v>
      </c>
      <c r="N88" s="11">
        <f t="shared" si="11"/>
        <v>31</v>
      </c>
      <c r="O88" s="11">
        <f t="shared" si="11"/>
        <v>36</v>
      </c>
      <c r="P88" s="11">
        <f t="shared" si="11"/>
        <v>39</v>
      </c>
      <c r="Q88" s="11">
        <f t="shared" si="11"/>
        <v>29</v>
      </c>
      <c r="R88" s="11">
        <f t="shared" si="11"/>
        <v>20</v>
      </c>
      <c r="S88" s="11">
        <f t="shared" si="11"/>
        <v>24</v>
      </c>
      <c r="T88" s="11">
        <f t="shared" si="11"/>
        <v>24</v>
      </c>
    </row>
    <row r="89" spans="1:27" x14ac:dyDescent="0.3">
      <c r="A89">
        <v>94</v>
      </c>
      <c r="B89">
        <v>317516</v>
      </c>
      <c r="C89" t="s">
        <v>229</v>
      </c>
      <c r="D89" t="s">
        <v>366</v>
      </c>
      <c r="E89">
        <v>36.346400000000003</v>
      </c>
      <c r="F89">
        <v>-78.885800000000003</v>
      </c>
      <c r="G89">
        <v>216.4</v>
      </c>
      <c r="H89" t="s">
        <v>823</v>
      </c>
      <c r="I89">
        <v>26</v>
      </c>
      <c r="J89">
        <v>24</v>
      </c>
      <c r="K89">
        <v>33</v>
      </c>
      <c r="L89">
        <v>26</v>
      </c>
      <c r="M89">
        <v>22</v>
      </c>
      <c r="N89">
        <v>24</v>
      </c>
      <c r="O89">
        <v>31</v>
      </c>
      <c r="P89">
        <v>27</v>
      </c>
      <c r="Q89">
        <v>23</v>
      </c>
      <c r="R89">
        <v>25</v>
      </c>
      <c r="S89">
        <v>26</v>
      </c>
      <c r="T89">
        <v>28</v>
      </c>
      <c r="U89" t="s">
        <v>230</v>
      </c>
      <c r="V89" t="s">
        <v>231</v>
      </c>
      <c r="W89" t="s">
        <v>16</v>
      </c>
      <c r="X89" t="s">
        <v>366</v>
      </c>
      <c r="Y89">
        <v>36.35</v>
      </c>
      <c r="Z89">
        <v>-78.89</v>
      </c>
      <c r="AA89" t="s">
        <v>18</v>
      </c>
    </row>
    <row r="90" spans="1:27" x14ac:dyDescent="0.3">
      <c r="A90">
        <v>44</v>
      </c>
      <c r="B90">
        <v>313638</v>
      </c>
      <c r="C90" t="s">
        <v>134</v>
      </c>
      <c r="D90" t="s">
        <v>340</v>
      </c>
      <c r="E90">
        <v>35.64</v>
      </c>
      <c r="F90">
        <v>-77.398399999999995</v>
      </c>
      <c r="G90">
        <v>9.8000000000000007</v>
      </c>
      <c r="H90" t="s">
        <v>823</v>
      </c>
      <c r="I90">
        <v>27</v>
      </c>
      <c r="J90">
        <v>24</v>
      </c>
      <c r="K90">
        <v>30</v>
      </c>
      <c r="L90">
        <v>22</v>
      </c>
      <c r="M90">
        <v>25</v>
      </c>
      <c r="N90">
        <v>28</v>
      </c>
      <c r="O90">
        <v>38</v>
      </c>
      <c r="P90">
        <v>36</v>
      </c>
      <c r="Q90">
        <v>31</v>
      </c>
      <c r="R90">
        <v>19</v>
      </c>
      <c r="S90">
        <v>24</v>
      </c>
      <c r="T90">
        <v>23</v>
      </c>
      <c r="U90" t="s">
        <v>135</v>
      </c>
      <c r="V90" t="s">
        <v>135</v>
      </c>
      <c r="W90" t="s">
        <v>16</v>
      </c>
      <c r="X90" t="s">
        <v>340</v>
      </c>
      <c r="Y90">
        <v>35.64</v>
      </c>
      <c r="Z90">
        <v>-77.400000000000006</v>
      </c>
      <c r="AA90" t="s">
        <v>18</v>
      </c>
    </row>
    <row r="91" spans="1:27" x14ac:dyDescent="0.3">
      <c r="A91">
        <v>108</v>
      </c>
      <c r="B91">
        <v>318744</v>
      </c>
      <c r="C91" t="s">
        <v>266</v>
      </c>
      <c r="D91" t="s">
        <v>376</v>
      </c>
      <c r="E91">
        <v>35.205800000000004</v>
      </c>
      <c r="F91">
        <v>-82.251599999999996</v>
      </c>
      <c r="G91">
        <v>365.8</v>
      </c>
      <c r="H91" t="s">
        <v>823</v>
      </c>
      <c r="I91">
        <v>34</v>
      </c>
      <c r="J91">
        <v>35</v>
      </c>
      <c r="K91">
        <v>37</v>
      </c>
      <c r="L91">
        <v>32</v>
      </c>
      <c r="M91">
        <v>29</v>
      </c>
      <c r="N91">
        <v>35</v>
      </c>
      <c r="O91">
        <v>33</v>
      </c>
      <c r="P91">
        <v>31</v>
      </c>
      <c r="Q91">
        <v>32</v>
      </c>
      <c r="R91">
        <v>28</v>
      </c>
      <c r="S91">
        <v>29</v>
      </c>
      <c r="T91">
        <v>36</v>
      </c>
      <c r="U91" t="s">
        <v>267</v>
      </c>
      <c r="V91" t="s">
        <v>267</v>
      </c>
      <c r="W91" t="s">
        <v>16</v>
      </c>
      <c r="X91" t="s">
        <v>376</v>
      </c>
      <c r="Y91">
        <v>35.21</v>
      </c>
      <c r="Z91">
        <v>-82.25</v>
      </c>
      <c r="AA91" t="s">
        <v>18</v>
      </c>
    </row>
    <row r="92" spans="1:27" x14ac:dyDescent="0.3">
      <c r="A92">
        <v>3</v>
      </c>
      <c r="B92">
        <v>310286</v>
      </c>
      <c r="C92" t="s">
        <v>24</v>
      </c>
      <c r="D92" t="s">
        <v>305</v>
      </c>
      <c r="E92">
        <v>35.704439999999998</v>
      </c>
      <c r="F92">
        <v>-79.837779999999995</v>
      </c>
      <c r="G92">
        <v>265.2</v>
      </c>
      <c r="H92" t="s">
        <v>823</v>
      </c>
      <c r="I92">
        <v>25</v>
      </c>
      <c r="J92">
        <v>27</v>
      </c>
      <c r="K92">
        <v>32</v>
      </c>
      <c r="L92">
        <v>24</v>
      </c>
      <c r="M92">
        <v>26</v>
      </c>
      <c r="N92">
        <v>26</v>
      </c>
      <c r="O92">
        <v>27</v>
      </c>
      <c r="P92">
        <v>26</v>
      </c>
      <c r="Q92">
        <v>26</v>
      </c>
      <c r="R92">
        <v>22</v>
      </c>
      <c r="S92">
        <v>24</v>
      </c>
      <c r="T92">
        <v>22</v>
      </c>
      <c r="U92" t="s">
        <v>25</v>
      </c>
      <c r="V92" t="s">
        <v>26</v>
      </c>
      <c r="W92" t="s">
        <v>16</v>
      </c>
      <c r="X92" t="s">
        <v>305</v>
      </c>
      <c r="Y92">
        <v>35.700000000000003</v>
      </c>
      <c r="Z92">
        <v>-79.84</v>
      </c>
      <c r="AA92" t="s">
        <v>18</v>
      </c>
    </row>
    <row r="93" spans="1:27" x14ac:dyDescent="0.3">
      <c r="D93" t="s">
        <v>341</v>
      </c>
      <c r="I93" s="11">
        <f>+I99</f>
        <v>26</v>
      </c>
      <c r="J93" s="11">
        <f t="shared" ref="J93:T93" si="12">+J99</f>
        <v>27</v>
      </c>
      <c r="K93" s="11">
        <f t="shared" si="12"/>
        <v>28</v>
      </c>
      <c r="L93" s="11">
        <f t="shared" si="12"/>
        <v>20</v>
      </c>
      <c r="M93" s="11">
        <f t="shared" si="12"/>
        <v>23</v>
      </c>
      <c r="N93" s="11">
        <f t="shared" si="12"/>
        <v>31</v>
      </c>
      <c r="O93" s="11">
        <f t="shared" si="12"/>
        <v>33</v>
      </c>
      <c r="P93" s="11">
        <f t="shared" si="12"/>
        <v>34</v>
      </c>
      <c r="Q93" s="11">
        <f t="shared" si="12"/>
        <v>27</v>
      </c>
      <c r="R93" s="11">
        <f t="shared" si="12"/>
        <v>21</v>
      </c>
      <c r="S93" s="11">
        <f t="shared" si="12"/>
        <v>20</v>
      </c>
      <c r="T93" s="11">
        <f t="shared" si="12"/>
        <v>21</v>
      </c>
    </row>
    <row r="94" spans="1:27" x14ac:dyDescent="0.3">
      <c r="A94">
        <v>66</v>
      </c>
      <c r="B94">
        <v>315177</v>
      </c>
      <c r="C94" t="s">
        <v>862</v>
      </c>
      <c r="D94" t="s">
        <v>353</v>
      </c>
      <c r="E94">
        <v>34.626899999999999</v>
      </c>
      <c r="F94">
        <v>-79.025000000000006</v>
      </c>
      <c r="G94">
        <v>34.1</v>
      </c>
      <c r="H94" t="s">
        <v>823</v>
      </c>
      <c r="I94">
        <v>27</v>
      </c>
      <c r="J94">
        <v>26</v>
      </c>
      <c r="K94">
        <v>27</v>
      </c>
      <c r="L94">
        <v>24</v>
      </c>
      <c r="M94">
        <v>23</v>
      </c>
      <c r="N94">
        <v>30</v>
      </c>
      <c r="O94">
        <v>43</v>
      </c>
      <c r="P94">
        <v>39</v>
      </c>
      <c r="Q94">
        <v>26</v>
      </c>
      <c r="R94">
        <v>19</v>
      </c>
      <c r="S94">
        <v>23</v>
      </c>
      <c r="T94">
        <v>21</v>
      </c>
      <c r="U94" t="s">
        <v>863</v>
      </c>
      <c r="V94" t="s">
        <v>863</v>
      </c>
      <c r="W94" t="s">
        <v>16</v>
      </c>
      <c r="X94" t="s">
        <v>353</v>
      </c>
      <c r="Y94">
        <v>34.630000000000003</v>
      </c>
      <c r="Z94">
        <v>-79.03</v>
      </c>
      <c r="AA94" t="s">
        <v>18</v>
      </c>
    </row>
    <row r="95" spans="1:27" x14ac:dyDescent="0.3">
      <c r="A95">
        <v>88</v>
      </c>
      <c r="B95">
        <v>317202</v>
      </c>
      <c r="C95" t="s">
        <v>218</v>
      </c>
      <c r="D95" t="s">
        <v>330</v>
      </c>
      <c r="E95">
        <v>36.3825</v>
      </c>
      <c r="F95">
        <v>-79.694699999999997</v>
      </c>
      <c r="G95">
        <v>271.3</v>
      </c>
      <c r="H95" t="s">
        <v>823</v>
      </c>
      <c r="I95">
        <v>27</v>
      </c>
      <c r="J95">
        <v>26</v>
      </c>
      <c r="K95">
        <v>29</v>
      </c>
      <c r="L95">
        <v>26</v>
      </c>
      <c r="M95">
        <v>24</v>
      </c>
      <c r="N95">
        <v>27</v>
      </c>
      <c r="O95">
        <v>33</v>
      </c>
      <c r="P95">
        <v>23</v>
      </c>
      <c r="Q95">
        <v>24</v>
      </c>
      <c r="R95">
        <v>22</v>
      </c>
      <c r="S95">
        <v>25</v>
      </c>
      <c r="T95">
        <v>25</v>
      </c>
      <c r="U95" t="s">
        <v>219</v>
      </c>
      <c r="V95" t="s">
        <v>220</v>
      </c>
      <c r="W95" t="s">
        <v>16</v>
      </c>
      <c r="X95" t="s">
        <v>330</v>
      </c>
      <c r="Y95">
        <v>36.380000000000003</v>
      </c>
      <c r="Z95">
        <v>-79.69</v>
      </c>
      <c r="AA95" t="s">
        <v>18</v>
      </c>
    </row>
    <row r="96" spans="1:27" x14ac:dyDescent="0.3">
      <c r="A96">
        <v>96</v>
      </c>
      <c r="B96">
        <v>317618</v>
      </c>
      <c r="C96" t="s">
        <v>235</v>
      </c>
      <c r="D96" t="s">
        <v>367</v>
      </c>
      <c r="E96">
        <v>35.696599999999997</v>
      </c>
      <c r="F96">
        <v>-80.622699999999995</v>
      </c>
      <c r="G96">
        <v>251.5</v>
      </c>
      <c r="H96" t="s">
        <v>823</v>
      </c>
      <c r="I96">
        <v>26</v>
      </c>
      <c r="J96">
        <v>24</v>
      </c>
      <c r="K96">
        <v>30</v>
      </c>
      <c r="L96">
        <v>24</v>
      </c>
      <c r="M96">
        <v>21</v>
      </c>
      <c r="N96">
        <v>27</v>
      </c>
      <c r="O96">
        <v>23</v>
      </c>
      <c r="P96">
        <v>25</v>
      </c>
      <c r="Q96">
        <v>27</v>
      </c>
      <c r="R96">
        <v>20</v>
      </c>
      <c r="S96">
        <v>19</v>
      </c>
      <c r="T96">
        <v>24</v>
      </c>
      <c r="U96" t="s">
        <v>236</v>
      </c>
      <c r="V96" t="s">
        <v>233</v>
      </c>
      <c r="W96" t="s">
        <v>16</v>
      </c>
      <c r="X96" t="s">
        <v>367</v>
      </c>
      <c r="Y96">
        <v>35.700000000000003</v>
      </c>
      <c r="Z96">
        <v>-80.62</v>
      </c>
      <c r="AA96" t="s">
        <v>18</v>
      </c>
    </row>
    <row r="97" spans="1:27" x14ac:dyDescent="0.3">
      <c r="A97">
        <v>57</v>
      </c>
      <c r="B97">
        <v>314764</v>
      </c>
      <c r="C97" t="s">
        <v>855</v>
      </c>
      <c r="D97" t="s">
        <v>336</v>
      </c>
      <c r="E97">
        <v>35.420499999999997</v>
      </c>
      <c r="F97">
        <v>-82.187700000000007</v>
      </c>
      <c r="G97">
        <v>317</v>
      </c>
      <c r="H97" t="s">
        <v>823</v>
      </c>
      <c r="I97">
        <v>31</v>
      </c>
      <c r="J97">
        <v>28</v>
      </c>
      <c r="K97">
        <v>28</v>
      </c>
      <c r="L97">
        <v>28</v>
      </c>
      <c r="M97">
        <v>24</v>
      </c>
      <c r="N97">
        <v>31</v>
      </c>
      <c r="O97">
        <v>24</v>
      </c>
      <c r="P97">
        <v>33</v>
      </c>
      <c r="Q97">
        <v>26</v>
      </c>
      <c r="R97">
        <v>25</v>
      </c>
      <c r="S97">
        <v>26</v>
      </c>
      <c r="T97">
        <v>24</v>
      </c>
      <c r="U97" t="s">
        <v>856</v>
      </c>
      <c r="V97" t="s">
        <v>857</v>
      </c>
      <c r="W97" t="s">
        <v>16</v>
      </c>
      <c r="X97" t="s">
        <v>336</v>
      </c>
      <c r="Y97">
        <v>35.42</v>
      </c>
      <c r="Z97">
        <v>-82.19</v>
      </c>
      <c r="AA97" t="s">
        <v>18</v>
      </c>
    </row>
    <row r="98" spans="1:27" x14ac:dyDescent="0.3">
      <c r="A98">
        <v>22</v>
      </c>
      <c r="B98">
        <v>311881</v>
      </c>
      <c r="C98" t="s">
        <v>79</v>
      </c>
      <c r="D98" t="s">
        <v>324</v>
      </c>
      <c r="E98">
        <v>35.024700000000003</v>
      </c>
      <c r="F98">
        <v>-78.275800000000004</v>
      </c>
      <c r="G98">
        <v>48.2</v>
      </c>
      <c r="H98" t="s">
        <v>823</v>
      </c>
      <c r="I98">
        <v>25</v>
      </c>
      <c r="J98">
        <v>21</v>
      </c>
      <c r="K98">
        <v>23</v>
      </c>
      <c r="L98">
        <v>19</v>
      </c>
      <c r="M98">
        <v>23</v>
      </c>
      <c r="N98">
        <v>32</v>
      </c>
      <c r="O98">
        <v>38</v>
      </c>
      <c r="P98">
        <v>36</v>
      </c>
      <c r="Q98">
        <v>28</v>
      </c>
      <c r="R98">
        <v>17</v>
      </c>
      <c r="S98">
        <v>20</v>
      </c>
      <c r="T98">
        <v>26</v>
      </c>
      <c r="U98" t="s">
        <v>80</v>
      </c>
      <c r="V98" t="s">
        <v>81</v>
      </c>
      <c r="W98" t="s">
        <v>16</v>
      </c>
      <c r="X98" t="s">
        <v>324</v>
      </c>
      <c r="Y98">
        <v>35.020000000000003</v>
      </c>
      <c r="Z98">
        <v>-78.28</v>
      </c>
      <c r="AA98" t="s">
        <v>18</v>
      </c>
    </row>
    <row r="99" spans="1:27" x14ac:dyDescent="0.3">
      <c r="A99">
        <v>59</v>
      </c>
      <c r="B99">
        <v>314860</v>
      </c>
      <c r="C99" t="s">
        <v>858</v>
      </c>
      <c r="D99" t="s">
        <v>348</v>
      </c>
      <c r="E99">
        <v>34.750799999999998</v>
      </c>
      <c r="F99">
        <v>-79.466399999999993</v>
      </c>
      <c r="G99">
        <v>64</v>
      </c>
      <c r="H99" t="s">
        <v>823</v>
      </c>
      <c r="I99">
        <v>26</v>
      </c>
      <c r="J99">
        <v>27</v>
      </c>
      <c r="K99">
        <v>28</v>
      </c>
      <c r="L99">
        <v>20</v>
      </c>
      <c r="M99">
        <v>23</v>
      </c>
      <c r="N99">
        <v>31</v>
      </c>
      <c r="O99">
        <v>33</v>
      </c>
      <c r="P99">
        <v>34</v>
      </c>
      <c r="Q99">
        <v>27</v>
      </c>
      <c r="R99">
        <v>21</v>
      </c>
      <c r="S99">
        <v>20</v>
      </c>
      <c r="T99">
        <v>21</v>
      </c>
      <c r="U99" t="s">
        <v>859</v>
      </c>
      <c r="V99" t="s">
        <v>859</v>
      </c>
      <c r="W99" t="s">
        <v>16</v>
      </c>
      <c r="X99" t="s">
        <v>348</v>
      </c>
      <c r="Y99">
        <v>34.75</v>
      </c>
      <c r="Z99">
        <v>-79.47</v>
      </c>
      <c r="AA99" t="s">
        <v>18</v>
      </c>
    </row>
    <row r="100" spans="1:27" x14ac:dyDescent="0.3">
      <c r="A100">
        <v>1</v>
      </c>
      <c r="B100">
        <v>310090</v>
      </c>
      <c r="C100" t="s">
        <v>13</v>
      </c>
      <c r="D100" t="s">
        <v>879</v>
      </c>
      <c r="E100">
        <v>35.399169999999998</v>
      </c>
      <c r="F100">
        <v>-80.199439999999996</v>
      </c>
      <c r="G100">
        <v>185.9</v>
      </c>
      <c r="H100" t="s">
        <v>823</v>
      </c>
      <c r="I100">
        <v>25</v>
      </c>
      <c r="J100">
        <v>26</v>
      </c>
      <c r="K100">
        <v>34</v>
      </c>
      <c r="L100">
        <v>22</v>
      </c>
      <c r="M100">
        <v>26</v>
      </c>
      <c r="N100">
        <v>32</v>
      </c>
      <c r="O100">
        <v>36</v>
      </c>
      <c r="P100">
        <v>27</v>
      </c>
      <c r="Q100">
        <v>25</v>
      </c>
      <c r="R100">
        <v>22</v>
      </c>
      <c r="S100">
        <v>24</v>
      </c>
      <c r="T100">
        <v>24</v>
      </c>
      <c r="U100" t="s">
        <v>15</v>
      </c>
      <c r="V100" t="s">
        <v>15</v>
      </c>
      <c r="W100" t="s">
        <v>16</v>
      </c>
      <c r="X100" t="s">
        <v>879</v>
      </c>
      <c r="Y100">
        <v>35.4</v>
      </c>
      <c r="Z100">
        <v>-80.2</v>
      </c>
      <c r="AA100" t="s">
        <v>18</v>
      </c>
    </row>
    <row r="101" spans="1:27" x14ac:dyDescent="0.3">
      <c r="A101">
        <v>27</v>
      </c>
      <c r="B101">
        <v>312238</v>
      </c>
      <c r="C101" t="s">
        <v>93</v>
      </c>
      <c r="D101" t="s">
        <v>327</v>
      </c>
      <c r="E101">
        <v>36.414700000000003</v>
      </c>
      <c r="F101">
        <v>-80.216899999999995</v>
      </c>
      <c r="G101">
        <v>256</v>
      </c>
      <c r="H101" t="s">
        <v>823</v>
      </c>
      <c r="I101">
        <v>24</v>
      </c>
      <c r="J101">
        <v>23</v>
      </c>
      <c r="K101">
        <v>31</v>
      </c>
      <c r="L101">
        <v>25</v>
      </c>
      <c r="M101">
        <v>31</v>
      </c>
      <c r="N101">
        <v>29</v>
      </c>
      <c r="O101">
        <v>36</v>
      </c>
      <c r="P101">
        <v>24</v>
      </c>
      <c r="Q101">
        <v>29</v>
      </c>
      <c r="R101">
        <v>23</v>
      </c>
      <c r="S101">
        <v>21</v>
      </c>
      <c r="T101">
        <v>27</v>
      </c>
      <c r="U101" t="s">
        <v>94</v>
      </c>
      <c r="V101" t="s">
        <v>94</v>
      </c>
      <c r="W101" t="s">
        <v>16</v>
      </c>
      <c r="X101" t="s">
        <v>327</v>
      </c>
      <c r="Y101">
        <v>36.409999999999997</v>
      </c>
      <c r="Z101">
        <v>-80.22</v>
      </c>
      <c r="AA101" t="s">
        <v>18</v>
      </c>
    </row>
    <row r="102" spans="1:27" x14ac:dyDescent="0.3">
      <c r="A102">
        <v>34</v>
      </c>
      <c r="B102">
        <v>312740</v>
      </c>
      <c r="C102" t="s">
        <v>114</v>
      </c>
      <c r="D102" t="s">
        <v>333</v>
      </c>
      <c r="E102">
        <v>36.254399999999997</v>
      </c>
      <c r="F102">
        <v>-80.864999999999995</v>
      </c>
      <c r="G102">
        <v>265.2</v>
      </c>
      <c r="H102" t="s">
        <v>823</v>
      </c>
      <c r="I102">
        <v>25</v>
      </c>
      <c r="J102">
        <v>24</v>
      </c>
      <c r="K102">
        <v>30</v>
      </c>
      <c r="L102">
        <v>26</v>
      </c>
      <c r="M102">
        <v>24</v>
      </c>
      <c r="N102">
        <v>28</v>
      </c>
      <c r="O102">
        <v>34</v>
      </c>
      <c r="P102">
        <v>26</v>
      </c>
      <c r="Q102">
        <v>27</v>
      </c>
      <c r="R102">
        <v>21</v>
      </c>
      <c r="S102">
        <v>21</v>
      </c>
      <c r="T102">
        <v>26</v>
      </c>
      <c r="U102" t="s">
        <v>115</v>
      </c>
      <c r="V102" t="s">
        <v>115</v>
      </c>
      <c r="W102" t="s">
        <v>16</v>
      </c>
      <c r="X102" t="s">
        <v>333</v>
      </c>
      <c r="Y102">
        <v>36.25</v>
      </c>
      <c r="Z102">
        <v>-80.87</v>
      </c>
      <c r="AA102" t="s">
        <v>18</v>
      </c>
    </row>
    <row r="103" spans="1:27" x14ac:dyDescent="0.3">
      <c r="A103">
        <v>80</v>
      </c>
      <c r="B103">
        <v>316341</v>
      </c>
      <c r="C103" t="s">
        <v>203</v>
      </c>
      <c r="D103" t="s">
        <v>361</v>
      </c>
      <c r="E103">
        <v>35.5261</v>
      </c>
      <c r="F103">
        <v>-83.308899999999994</v>
      </c>
      <c r="G103">
        <v>621.79999999999995</v>
      </c>
      <c r="H103" t="s">
        <v>823</v>
      </c>
      <c r="I103">
        <v>35</v>
      </c>
      <c r="J103">
        <v>34</v>
      </c>
      <c r="K103">
        <v>34</v>
      </c>
      <c r="L103">
        <v>28</v>
      </c>
      <c r="M103">
        <v>36</v>
      </c>
      <c r="N103">
        <v>32</v>
      </c>
      <c r="O103">
        <v>31</v>
      </c>
      <c r="P103">
        <v>26</v>
      </c>
      <c r="Q103">
        <v>29</v>
      </c>
      <c r="R103">
        <v>19</v>
      </c>
      <c r="S103">
        <v>32</v>
      </c>
      <c r="T103">
        <v>33</v>
      </c>
      <c r="U103" t="s">
        <v>204</v>
      </c>
      <c r="V103" t="s">
        <v>204</v>
      </c>
      <c r="W103" t="s">
        <v>16</v>
      </c>
      <c r="X103" t="s">
        <v>361</v>
      </c>
      <c r="Y103">
        <v>35.53</v>
      </c>
      <c r="Z103">
        <v>-83.31</v>
      </c>
      <c r="AA103" t="s">
        <v>18</v>
      </c>
    </row>
    <row r="104" spans="1:27" x14ac:dyDescent="0.3">
      <c r="A104">
        <v>10</v>
      </c>
      <c r="B104">
        <v>311055</v>
      </c>
      <c r="C104" t="s">
        <v>47</v>
      </c>
      <c r="D104" t="s">
        <v>312</v>
      </c>
      <c r="E104">
        <v>35.228299999999997</v>
      </c>
      <c r="F104">
        <v>-82.735799999999998</v>
      </c>
      <c r="G104">
        <v>676.7</v>
      </c>
      <c r="H104" t="s">
        <v>823</v>
      </c>
      <c r="I104">
        <v>37</v>
      </c>
      <c r="J104">
        <v>38</v>
      </c>
      <c r="K104">
        <v>36</v>
      </c>
      <c r="L104">
        <v>31</v>
      </c>
      <c r="M104">
        <v>34</v>
      </c>
      <c r="N104">
        <v>43</v>
      </c>
      <c r="O104">
        <v>37</v>
      </c>
      <c r="P104">
        <v>37</v>
      </c>
      <c r="Q104">
        <v>32</v>
      </c>
      <c r="R104">
        <v>32</v>
      </c>
      <c r="S104">
        <v>35</v>
      </c>
      <c r="T104">
        <v>42</v>
      </c>
      <c r="U104" t="s">
        <v>48</v>
      </c>
      <c r="V104" t="s">
        <v>48</v>
      </c>
      <c r="W104" t="s">
        <v>16</v>
      </c>
      <c r="X104" t="s">
        <v>312</v>
      </c>
      <c r="Y104">
        <v>35.229999999999997</v>
      </c>
      <c r="Z104">
        <v>-82.74</v>
      </c>
      <c r="AA104" t="s">
        <v>18</v>
      </c>
    </row>
    <row r="105" spans="1:27" x14ac:dyDescent="0.3">
      <c r="D105" t="s">
        <v>716</v>
      </c>
      <c r="I105" s="11">
        <f>+I29</f>
        <v>33</v>
      </c>
      <c r="J105" s="11">
        <f t="shared" ref="J105:T105" si="13">+J29</f>
        <v>22</v>
      </c>
      <c r="K105" s="11">
        <f t="shared" si="13"/>
        <v>30</v>
      </c>
      <c r="L105" s="11">
        <f t="shared" si="13"/>
        <v>25</v>
      </c>
      <c r="M105" s="11">
        <f t="shared" si="13"/>
        <v>24</v>
      </c>
      <c r="N105" s="11">
        <f t="shared" si="13"/>
        <v>30</v>
      </c>
      <c r="O105" s="11">
        <f t="shared" si="13"/>
        <v>37</v>
      </c>
      <c r="P105" s="11">
        <f t="shared" si="13"/>
        <v>40</v>
      </c>
      <c r="Q105" s="11">
        <f t="shared" si="13"/>
        <v>27</v>
      </c>
      <c r="R105" s="11">
        <f t="shared" si="13"/>
        <v>20</v>
      </c>
      <c r="S105" s="11">
        <f t="shared" si="13"/>
        <v>22</v>
      </c>
      <c r="T105" s="11">
        <f t="shared" si="13"/>
        <v>25</v>
      </c>
    </row>
    <row r="106" spans="1:27" x14ac:dyDescent="0.3">
      <c r="A106">
        <v>70</v>
      </c>
      <c r="B106">
        <v>315771</v>
      </c>
      <c r="C106" t="s">
        <v>864</v>
      </c>
      <c r="D106" t="s">
        <v>356</v>
      </c>
      <c r="E106">
        <v>34.97972</v>
      </c>
      <c r="F106">
        <v>-80.523330000000001</v>
      </c>
      <c r="G106">
        <v>167.6</v>
      </c>
      <c r="H106" t="s">
        <v>823</v>
      </c>
      <c r="I106">
        <v>30</v>
      </c>
      <c r="J106">
        <v>26</v>
      </c>
      <c r="K106">
        <v>29</v>
      </c>
      <c r="L106">
        <v>22</v>
      </c>
      <c r="M106">
        <v>22</v>
      </c>
      <c r="N106">
        <v>30</v>
      </c>
      <c r="O106">
        <v>30</v>
      </c>
      <c r="P106">
        <v>32</v>
      </c>
      <c r="Q106">
        <v>24</v>
      </c>
      <c r="R106">
        <v>27</v>
      </c>
      <c r="S106">
        <v>24</v>
      </c>
      <c r="T106">
        <v>25</v>
      </c>
      <c r="U106" t="s">
        <v>865</v>
      </c>
      <c r="V106" t="s">
        <v>866</v>
      </c>
      <c r="W106" t="s">
        <v>16</v>
      </c>
      <c r="X106" t="s">
        <v>356</v>
      </c>
      <c r="Y106">
        <v>34.979999999999997</v>
      </c>
      <c r="Z106">
        <v>-80.52</v>
      </c>
      <c r="AA106" t="s">
        <v>18</v>
      </c>
    </row>
    <row r="107" spans="1:27" x14ac:dyDescent="0.3">
      <c r="A107">
        <v>46</v>
      </c>
      <c r="B107">
        <v>313969</v>
      </c>
      <c r="C107" t="s">
        <v>848</v>
      </c>
      <c r="D107" t="s">
        <v>673</v>
      </c>
      <c r="E107">
        <v>36.348100000000002</v>
      </c>
      <c r="F107">
        <v>-78.411900000000003</v>
      </c>
      <c r="G107">
        <v>146.30000000000001</v>
      </c>
      <c r="H107" t="s">
        <v>823</v>
      </c>
      <c r="I107">
        <v>28</v>
      </c>
      <c r="J107">
        <v>20</v>
      </c>
      <c r="K107">
        <v>29</v>
      </c>
      <c r="L107">
        <v>26</v>
      </c>
      <c r="M107">
        <v>27</v>
      </c>
      <c r="N107">
        <v>31</v>
      </c>
      <c r="O107">
        <v>33</v>
      </c>
      <c r="P107">
        <v>27</v>
      </c>
      <c r="Q107">
        <v>24</v>
      </c>
      <c r="R107">
        <v>21</v>
      </c>
      <c r="S107">
        <v>25</v>
      </c>
      <c r="T107">
        <v>26</v>
      </c>
      <c r="U107" t="s">
        <v>849</v>
      </c>
      <c r="V107" t="s">
        <v>142</v>
      </c>
      <c r="W107" t="s">
        <v>16</v>
      </c>
      <c r="X107" t="s">
        <v>673</v>
      </c>
      <c r="Y107">
        <v>36.35</v>
      </c>
      <c r="Z107">
        <v>-78.41</v>
      </c>
      <c r="AA107" t="s">
        <v>18</v>
      </c>
    </row>
    <row r="108" spans="1:27" x14ac:dyDescent="0.3">
      <c r="A108">
        <v>84</v>
      </c>
      <c r="B108">
        <v>317074</v>
      </c>
      <c r="C108" t="s">
        <v>215</v>
      </c>
      <c r="D108" t="s">
        <v>303</v>
      </c>
      <c r="E108">
        <v>35.729399999999998</v>
      </c>
      <c r="F108">
        <v>-78.683800000000005</v>
      </c>
      <c r="G108">
        <v>128</v>
      </c>
      <c r="H108" t="s">
        <v>823</v>
      </c>
      <c r="I108">
        <v>29</v>
      </c>
      <c r="J108">
        <v>28</v>
      </c>
      <c r="K108">
        <v>32</v>
      </c>
      <c r="L108">
        <v>20</v>
      </c>
      <c r="M108">
        <v>26</v>
      </c>
      <c r="N108">
        <v>32</v>
      </c>
      <c r="O108">
        <v>34</v>
      </c>
      <c r="P108">
        <v>30</v>
      </c>
      <c r="Q108">
        <v>26</v>
      </c>
      <c r="R108">
        <v>24</v>
      </c>
      <c r="S108">
        <v>26</v>
      </c>
      <c r="T108">
        <v>22</v>
      </c>
      <c r="U108" t="s">
        <v>216</v>
      </c>
      <c r="V108" t="s">
        <v>217</v>
      </c>
      <c r="W108" t="s">
        <v>16</v>
      </c>
      <c r="X108" t="s">
        <v>303</v>
      </c>
      <c r="Y108">
        <v>35.729999999999997</v>
      </c>
      <c r="Z108">
        <v>-78.680000000000007</v>
      </c>
      <c r="AA108" t="s">
        <v>18</v>
      </c>
    </row>
    <row r="109" spans="1:27" x14ac:dyDescent="0.3">
      <c r="A109">
        <v>2</v>
      </c>
      <c r="B109">
        <v>310241</v>
      </c>
      <c r="C109" t="s">
        <v>21</v>
      </c>
      <c r="D109" t="s">
        <v>304</v>
      </c>
      <c r="E109">
        <v>36.2911</v>
      </c>
      <c r="F109">
        <v>-77.982200000000006</v>
      </c>
      <c r="G109">
        <v>100.6</v>
      </c>
      <c r="H109" t="s">
        <v>823</v>
      </c>
      <c r="I109">
        <v>26</v>
      </c>
      <c r="J109">
        <v>23</v>
      </c>
      <c r="K109">
        <v>36</v>
      </c>
      <c r="L109">
        <v>25</v>
      </c>
      <c r="M109">
        <v>25</v>
      </c>
      <c r="N109">
        <v>30</v>
      </c>
      <c r="O109">
        <v>35</v>
      </c>
      <c r="P109">
        <v>35</v>
      </c>
      <c r="Q109">
        <v>26</v>
      </c>
      <c r="R109">
        <v>23</v>
      </c>
      <c r="S109">
        <v>26</v>
      </c>
      <c r="T109">
        <v>25</v>
      </c>
      <c r="U109" t="s">
        <v>22</v>
      </c>
      <c r="V109" t="s">
        <v>22</v>
      </c>
      <c r="W109" t="s">
        <v>16</v>
      </c>
      <c r="X109" t="s">
        <v>304</v>
      </c>
      <c r="Y109">
        <v>36.29</v>
      </c>
      <c r="Z109">
        <v>-77.98</v>
      </c>
      <c r="AA109" t="s">
        <v>18</v>
      </c>
    </row>
    <row r="110" spans="1:27" x14ac:dyDescent="0.3">
      <c r="A110">
        <v>83</v>
      </c>
      <c r="B110">
        <v>316853</v>
      </c>
      <c r="C110" t="s">
        <v>209</v>
      </c>
      <c r="D110" t="s">
        <v>274</v>
      </c>
      <c r="E110">
        <v>35.872300000000003</v>
      </c>
      <c r="F110">
        <v>-76.659199999999998</v>
      </c>
      <c r="G110">
        <v>6.1</v>
      </c>
      <c r="H110" t="s">
        <v>823</v>
      </c>
      <c r="I110">
        <v>27</v>
      </c>
      <c r="J110">
        <v>25</v>
      </c>
      <c r="K110">
        <v>30</v>
      </c>
      <c r="L110">
        <v>25</v>
      </c>
      <c r="M110">
        <v>26</v>
      </c>
      <c r="N110">
        <v>34</v>
      </c>
      <c r="O110">
        <v>37</v>
      </c>
      <c r="P110">
        <v>42</v>
      </c>
      <c r="Q110">
        <v>31</v>
      </c>
      <c r="R110">
        <v>19</v>
      </c>
      <c r="S110">
        <v>23</v>
      </c>
      <c r="T110">
        <v>22</v>
      </c>
      <c r="U110" t="s">
        <v>210</v>
      </c>
      <c r="V110" t="s">
        <v>211</v>
      </c>
      <c r="W110" t="s">
        <v>16</v>
      </c>
      <c r="X110" t="s">
        <v>274</v>
      </c>
      <c r="Y110">
        <v>35.869999999999997</v>
      </c>
      <c r="Z110">
        <v>-76.66</v>
      </c>
      <c r="AA110" t="s">
        <v>18</v>
      </c>
    </row>
    <row r="111" spans="1:27" x14ac:dyDescent="0.3">
      <c r="A111">
        <v>9</v>
      </c>
      <c r="B111">
        <v>310982</v>
      </c>
      <c r="C111" t="s">
        <v>44</v>
      </c>
      <c r="D111" t="s">
        <v>311</v>
      </c>
      <c r="E111">
        <v>36.211399999999998</v>
      </c>
      <c r="F111">
        <v>-81.644199999999998</v>
      </c>
      <c r="G111">
        <v>1024.0999999999999</v>
      </c>
      <c r="H111" t="s">
        <v>823</v>
      </c>
      <c r="I111">
        <v>21</v>
      </c>
      <c r="J111">
        <v>27</v>
      </c>
      <c r="K111">
        <v>30</v>
      </c>
      <c r="L111">
        <v>30</v>
      </c>
      <c r="M111">
        <v>30</v>
      </c>
      <c r="N111">
        <v>33</v>
      </c>
      <c r="O111">
        <v>34</v>
      </c>
      <c r="P111">
        <v>32</v>
      </c>
      <c r="Q111">
        <v>27</v>
      </c>
      <c r="R111">
        <v>19</v>
      </c>
      <c r="S111">
        <v>28</v>
      </c>
      <c r="T111">
        <v>22</v>
      </c>
      <c r="U111" t="s">
        <v>45</v>
      </c>
      <c r="V111" t="s">
        <v>46</v>
      </c>
      <c r="W111" t="s">
        <v>16</v>
      </c>
      <c r="X111" t="s">
        <v>311</v>
      </c>
      <c r="Y111">
        <v>36.21</v>
      </c>
      <c r="Z111">
        <v>-81.64</v>
      </c>
      <c r="AA111" t="s">
        <v>18</v>
      </c>
    </row>
    <row r="112" spans="1:27" x14ac:dyDescent="0.3">
      <c r="A112">
        <v>151</v>
      </c>
      <c r="B112">
        <v>13713</v>
      </c>
      <c r="C112" t="s">
        <v>129</v>
      </c>
      <c r="D112" t="s">
        <v>338</v>
      </c>
      <c r="E112">
        <v>35.3444</v>
      </c>
      <c r="F112">
        <v>-77.964699999999993</v>
      </c>
      <c r="G112">
        <v>33.200000000000003</v>
      </c>
      <c r="H112" t="s">
        <v>823</v>
      </c>
      <c r="I112">
        <v>29</v>
      </c>
      <c r="J112">
        <v>27</v>
      </c>
      <c r="K112">
        <v>29</v>
      </c>
      <c r="L112">
        <v>25</v>
      </c>
      <c r="M112">
        <v>25</v>
      </c>
      <c r="N112">
        <v>28</v>
      </c>
      <c r="O112">
        <v>32</v>
      </c>
      <c r="P112">
        <v>40</v>
      </c>
      <c r="Q112">
        <v>33</v>
      </c>
      <c r="R112">
        <v>19</v>
      </c>
      <c r="S112">
        <v>19</v>
      </c>
      <c r="T112">
        <v>19</v>
      </c>
      <c r="U112" t="s">
        <v>19</v>
      </c>
      <c r="V112" t="s">
        <v>19</v>
      </c>
      <c r="W112" t="s">
        <v>19</v>
      </c>
      <c r="X112" t="s">
        <v>19</v>
      </c>
      <c r="Y112" t="s">
        <v>19</v>
      </c>
      <c r="Z112" t="s">
        <v>19</v>
      </c>
      <c r="AA112" t="s">
        <v>19</v>
      </c>
    </row>
    <row r="113" spans="1:27" x14ac:dyDescent="0.3">
      <c r="A113">
        <v>79</v>
      </c>
      <c r="B113">
        <v>316256</v>
      </c>
      <c r="C113" t="s">
        <v>200</v>
      </c>
      <c r="D113" t="s">
        <v>360</v>
      </c>
      <c r="E113">
        <v>36.1631</v>
      </c>
      <c r="F113">
        <v>-81.1494</v>
      </c>
      <c r="G113">
        <v>341.4</v>
      </c>
      <c r="H113" t="s">
        <v>823</v>
      </c>
      <c r="I113">
        <v>29</v>
      </c>
      <c r="J113">
        <v>27</v>
      </c>
      <c r="K113">
        <v>35</v>
      </c>
      <c r="L113">
        <v>30</v>
      </c>
      <c r="M113">
        <v>26</v>
      </c>
      <c r="N113">
        <v>31</v>
      </c>
      <c r="O113">
        <v>35</v>
      </c>
      <c r="P113">
        <v>26</v>
      </c>
      <c r="Q113">
        <v>30</v>
      </c>
      <c r="R113">
        <v>24</v>
      </c>
      <c r="S113">
        <v>27</v>
      </c>
      <c r="T113">
        <v>27</v>
      </c>
      <c r="U113" t="s">
        <v>201</v>
      </c>
      <c r="V113" t="s">
        <v>201</v>
      </c>
      <c r="W113" t="s">
        <v>16</v>
      </c>
      <c r="X113" t="s">
        <v>360</v>
      </c>
      <c r="Y113">
        <v>36.159999999999997</v>
      </c>
      <c r="Z113">
        <v>-81.150000000000006</v>
      </c>
      <c r="AA113" t="s">
        <v>18</v>
      </c>
    </row>
    <row r="114" spans="1:27" x14ac:dyDescent="0.3">
      <c r="A114">
        <v>120</v>
      </c>
      <c r="B114">
        <v>319476</v>
      </c>
      <c r="C114" t="s">
        <v>291</v>
      </c>
      <c r="D114" t="s">
        <v>293</v>
      </c>
      <c r="E114">
        <v>35.693890000000003</v>
      </c>
      <c r="F114">
        <v>-77.94556</v>
      </c>
      <c r="G114">
        <v>33.5</v>
      </c>
      <c r="H114" t="s">
        <v>823</v>
      </c>
      <c r="I114">
        <v>28</v>
      </c>
      <c r="J114">
        <v>24</v>
      </c>
      <c r="K114">
        <v>31</v>
      </c>
      <c r="L114">
        <v>20</v>
      </c>
      <c r="M114">
        <v>28</v>
      </c>
      <c r="N114">
        <v>26</v>
      </c>
      <c r="O114">
        <v>35</v>
      </c>
      <c r="P114">
        <v>33</v>
      </c>
      <c r="Q114">
        <v>30</v>
      </c>
      <c r="R114">
        <v>20</v>
      </c>
      <c r="S114">
        <v>23</v>
      </c>
      <c r="T114">
        <v>24</v>
      </c>
      <c r="U114" t="s">
        <v>292</v>
      </c>
      <c r="V114" t="s">
        <v>293</v>
      </c>
      <c r="W114" t="s">
        <v>16</v>
      </c>
      <c r="X114" t="s">
        <v>293</v>
      </c>
      <c r="Y114">
        <v>35.69</v>
      </c>
      <c r="Z114">
        <v>-77.95</v>
      </c>
      <c r="AA114" t="s">
        <v>18</v>
      </c>
    </row>
    <row r="115" spans="1:27" x14ac:dyDescent="0.3">
      <c r="A115">
        <v>121</v>
      </c>
      <c r="B115">
        <v>319675</v>
      </c>
      <c r="C115" t="s">
        <v>296</v>
      </c>
      <c r="D115" t="s">
        <v>382</v>
      </c>
      <c r="E115">
        <v>36.130600000000001</v>
      </c>
      <c r="F115">
        <v>-80.548100000000005</v>
      </c>
      <c r="G115">
        <v>266.7</v>
      </c>
      <c r="H115" t="s">
        <v>823</v>
      </c>
      <c r="I115">
        <v>26</v>
      </c>
      <c r="J115">
        <v>24</v>
      </c>
      <c r="K115">
        <v>30</v>
      </c>
      <c r="L115">
        <v>24</v>
      </c>
      <c r="M115">
        <v>23</v>
      </c>
      <c r="N115">
        <v>29</v>
      </c>
      <c r="O115">
        <v>34</v>
      </c>
      <c r="P115">
        <v>21</v>
      </c>
      <c r="Q115">
        <v>27</v>
      </c>
      <c r="R115">
        <v>22</v>
      </c>
      <c r="S115">
        <v>22</v>
      </c>
      <c r="T115">
        <v>28</v>
      </c>
      <c r="U115" t="s">
        <v>297</v>
      </c>
      <c r="V115" t="s">
        <v>298</v>
      </c>
      <c r="W115" t="s">
        <v>16</v>
      </c>
      <c r="X115" t="s">
        <v>382</v>
      </c>
      <c r="Y115">
        <v>36.130000000000003</v>
      </c>
      <c r="Z115">
        <v>-80.55</v>
      </c>
      <c r="AA115" t="s">
        <v>18</v>
      </c>
    </row>
    <row r="116" spans="1:27" x14ac:dyDescent="0.3">
      <c r="A116">
        <v>19</v>
      </c>
      <c r="B116">
        <v>311624</v>
      </c>
      <c r="C116" t="s">
        <v>67</v>
      </c>
      <c r="D116" t="s">
        <v>320</v>
      </c>
      <c r="E116">
        <v>35.829700000000003</v>
      </c>
      <c r="F116">
        <v>-82.176900000000003</v>
      </c>
      <c r="G116">
        <v>816.9</v>
      </c>
      <c r="H116" t="s">
        <v>823</v>
      </c>
      <c r="I116">
        <v>33</v>
      </c>
      <c r="J116">
        <v>32</v>
      </c>
      <c r="K116">
        <v>35</v>
      </c>
      <c r="L116">
        <v>31</v>
      </c>
      <c r="M116">
        <v>34</v>
      </c>
      <c r="N116">
        <v>32</v>
      </c>
      <c r="O116">
        <v>29</v>
      </c>
      <c r="P116">
        <v>30</v>
      </c>
      <c r="Q116">
        <v>26</v>
      </c>
      <c r="R116">
        <v>23</v>
      </c>
      <c r="S116">
        <v>31</v>
      </c>
      <c r="T116">
        <v>29</v>
      </c>
      <c r="U116" t="s">
        <v>68</v>
      </c>
      <c r="V116" t="s">
        <v>69</v>
      </c>
      <c r="W116" t="s">
        <v>16</v>
      </c>
      <c r="X116" t="s">
        <v>320</v>
      </c>
      <c r="Y116">
        <v>35.83</v>
      </c>
      <c r="Z116">
        <v>-82.18</v>
      </c>
      <c r="AA116" t="s">
        <v>18</v>
      </c>
    </row>
  </sheetData>
  <sortState xmlns:xlrd2="http://schemas.microsoft.com/office/spreadsheetml/2017/richdata2" ref="A2:AA141">
    <sortCondition ref="D2:D141"/>
  </sortState>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dimension ref="A1:N101"/>
  <sheetViews>
    <sheetView topLeftCell="A79" workbookViewId="0">
      <selection activeCell="C9" sqref="C9"/>
    </sheetView>
  </sheetViews>
  <sheetFormatPr defaultRowHeight="14.4" x14ac:dyDescent="0.3"/>
  <cols>
    <col min="1" max="1" width="29.88671875" customWidth="1"/>
    <col min="2" max="2" width="19.5546875" customWidth="1"/>
  </cols>
  <sheetData>
    <row r="1" spans="1:14" x14ac:dyDescent="0.3">
      <c r="A1" t="s">
        <v>9</v>
      </c>
      <c r="B1" t="s">
        <v>384</v>
      </c>
      <c r="C1">
        <v>1</v>
      </c>
      <c r="D1">
        <v>2</v>
      </c>
      <c r="E1">
        <v>3</v>
      </c>
      <c r="F1">
        <v>4</v>
      </c>
      <c r="G1">
        <v>5</v>
      </c>
      <c r="H1">
        <v>6</v>
      </c>
      <c r="I1">
        <v>7</v>
      </c>
      <c r="J1">
        <v>8</v>
      </c>
      <c r="K1">
        <v>9</v>
      </c>
      <c r="L1">
        <v>10</v>
      </c>
      <c r="M1">
        <v>11</v>
      </c>
      <c r="N1">
        <v>12</v>
      </c>
    </row>
    <row r="2" spans="1:14" x14ac:dyDescent="0.3">
      <c r="A2" t="s">
        <v>314</v>
      </c>
      <c r="B2" t="s">
        <v>389</v>
      </c>
      <c r="C2" s="5">
        <f>INDEX(ET.region!$A$51:$M$61,MATCH(ET.county!$B2,ET.region!$A$51:$A$61,0),MATCH(ET.county!C$1,ET.region!$A$51:$M$51,0))</f>
        <v>1.562204724409449</v>
      </c>
      <c r="D2" s="5">
        <f>INDEX(ET.region!$A$51:$M$61,MATCH(ET.county!$B2,ET.region!$A$51:$A$61,0),MATCH(ET.county!D$1,ET.region!$A$51:$M$51,0))</f>
        <v>2.0503937007874016</v>
      </c>
      <c r="E2" s="5">
        <f>INDEX(ET.region!$A$51:$M$61,MATCH(ET.county!$B2,ET.region!$A$51:$A$61,0),MATCH(ET.county!E$1,ET.region!$A$51:$M$51,0))</f>
        <v>3.5027559055118114</v>
      </c>
      <c r="F2" s="5">
        <f>INDEX(ET.region!$A$51:$M$61,MATCH(ET.county!$B2,ET.region!$A$51:$A$61,0),MATCH(ET.county!F$1,ET.region!$A$51:$M$51,0))</f>
        <v>4.9370078740157481</v>
      </c>
      <c r="G2" s="5">
        <f>INDEX(ET.region!$A$51:$M$61,MATCH(ET.county!$B2,ET.region!$A$51:$A$61,0),MATCH(ET.county!G$1,ET.region!$A$51:$M$51,0))</f>
        <v>6.2122047244094487</v>
      </c>
      <c r="H2" s="5">
        <f>INDEX(ET.region!$A$51:$M$61,MATCH(ET.county!$B2,ET.region!$A$51:$A$61,0),MATCH(ET.county!H$1,ET.region!$A$51:$M$51,0))</f>
        <v>6.6968503937007879</v>
      </c>
      <c r="I2" s="5">
        <f>INDEX(ET.region!$A$51:$M$61,MATCH(ET.county!$B2,ET.region!$A$51:$A$61,0),MATCH(ET.county!I$1,ET.region!$A$51:$M$51,0))</f>
        <v>6.9444881889763792</v>
      </c>
      <c r="J2" s="5">
        <f>INDEX(ET.region!$A$51:$M$61,MATCH(ET.county!$B2,ET.region!$A$51:$A$61,0),MATCH(ET.county!J$1,ET.region!$A$51:$M$51,0))</f>
        <v>6.2122047244094487</v>
      </c>
      <c r="K2" s="5">
        <f>INDEX(ET.region!$A$51:$M$61,MATCH(ET.county!$B2,ET.region!$A$51:$A$61,0),MATCH(ET.county!K$1,ET.region!$A$51:$M$51,0))</f>
        <v>4.7598425196850407</v>
      </c>
      <c r="L2" s="5">
        <f>INDEX(ET.region!$A$51:$M$61,MATCH(ET.county!$B2,ET.region!$A$51:$A$61,0),MATCH(ET.county!L$1,ET.region!$A$51:$M$51,0))</f>
        <v>3.4417322834645669</v>
      </c>
      <c r="M2" s="5">
        <f>INDEX(ET.region!$A$51:$M$61,MATCH(ET.county!$B2,ET.region!$A$51:$A$61,0),MATCH(ET.county!M$1,ET.region!$A$51:$M$51,0))</f>
        <v>2.1496062992125986</v>
      </c>
      <c r="N2" s="5">
        <f>INDEX(ET.region!$A$51:$M$61,MATCH(ET.county!$B2,ET.region!$A$51:$A$61,0),MATCH(ET.county!N$1,ET.region!$A$51:$M$51,0))</f>
        <v>1.5133858267716536</v>
      </c>
    </row>
    <row r="3" spans="1:14" x14ac:dyDescent="0.3">
      <c r="A3" t="s">
        <v>373</v>
      </c>
      <c r="B3" t="s">
        <v>393</v>
      </c>
      <c r="C3" s="5">
        <f>INDEX(ET.region!$A$51:$M$61,MATCH(ET.county!$B3,ET.region!$A$51:$A$61,0),MATCH(ET.county!C$1,ET.region!$A$51:$M$51,0))</f>
        <v>1.4523622047244096</v>
      </c>
      <c r="D3" s="5">
        <f>INDEX(ET.region!$A$51:$M$61,MATCH(ET.county!$B3,ET.region!$A$51:$A$61,0),MATCH(ET.county!D$1,ET.region!$A$51:$M$51,0))</f>
        <v>1.8850393700787402</v>
      </c>
      <c r="E3" s="5">
        <f>INDEX(ET.region!$A$51:$M$61,MATCH(ET.county!$B3,ET.region!$A$51:$A$61,0),MATCH(ET.county!E$1,ET.region!$A$51:$M$51,0))</f>
        <v>3.1610236220472441</v>
      </c>
      <c r="F3" s="5">
        <f>INDEX(ET.region!$A$51:$M$61,MATCH(ET.county!$B3,ET.region!$A$51:$A$61,0),MATCH(ET.county!F$1,ET.region!$A$51:$M$51,0))</f>
        <v>4.346456692913387</v>
      </c>
      <c r="G3" s="5">
        <f>INDEX(ET.region!$A$51:$M$61,MATCH(ET.county!$B3,ET.region!$A$51:$A$61,0),MATCH(ET.county!G$1,ET.region!$A$51:$M$51,0))</f>
        <v>5.333464566929135</v>
      </c>
      <c r="H3" s="5">
        <f>INDEX(ET.region!$A$51:$M$61,MATCH(ET.county!$B3,ET.region!$A$51:$A$61,0),MATCH(ET.county!H$1,ET.region!$A$51:$M$51,0))</f>
        <v>5.5748031496062991</v>
      </c>
      <c r="I3" s="5">
        <f>INDEX(ET.region!$A$51:$M$61,MATCH(ET.county!$B3,ET.region!$A$51:$A$61,0),MATCH(ET.county!I$1,ET.region!$A$51:$M$51,0))</f>
        <v>5.6751968503937018</v>
      </c>
      <c r="J3" s="5">
        <f>INDEX(ET.region!$A$51:$M$61,MATCH(ET.county!$B3,ET.region!$A$51:$A$61,0),MATCH(ET.county!J$1,ET.region!$A$51:$M$51,0))</f>
        <v>5.0893700787401581</v>
      </c>
      <c r="K3" s="5">
        <f>INDEX(ET.region!$A$51:$M$61,MATCH(ET.county!$B3,ET.region!$A$51:$A$61,0),MATCH(ET.county!K$1,ET.region!$A$51:$M$51,0))</f>
        <v>4.015748031496063</v>
      </c>
      <c r="L3" s="5">
        <f>INDEX(ET.region!$A$51:$M$61,MATCH(ET.county!$B3,ET.region!$A$51:$A$61,0),MATCH(ET.county!L$1,ET.region!$A$51:$M$51,0))</f>
        <v>3.0633858267716536</v>
      </c>
      <c r="M3" s="5">
        <f>INDEX(ET.region!$A$51:$M$61,MATCH(ET.county!$B3,ET.region!$A$51:$A$61,0),MATCH(ET.county!M$1,ET.region!$A$51:$M$51,0))</f>
        <v>1.9606299212598426</v>
      </c>
      <c r="N3" s="5">
        <f>INDEX(ET.region!$A$51:$M$61,MATCH(ET.county!$B3,ET.region!$A$51:$A$61,0),MATCH(ET.county!N$1,ET.region!$A$51:$M$51,0))</f>
        <v>1.3913385826771654</v>
      </c>
    </row>
    <row r="4" spans="1:14" x14ac:dyDescent="0.3">
      <c r="A4" t="s">
        <v>708</v>
      </c>
      <c r="B4" t="s">
        <v>394</v>
      </c>
      <c r="C4" s="5">
        <f>INDEX(ET.region!$A$51:$M$61,MATCH(ET.county!$B4,ET.region!$A$51:$A$61,0),MATCH(ET.county!C$1,ET.region!$A$51:$M$51,0))</f>
        <v>1.3913385826771654</v>
      </c>
      <c r="D4" s="5">
        <f>INDEX(ET.region!$A$51:$M$61,MATCH(ET.county!$B4,ET.region!$A$51:$A$61,0),MATCH(ET.county!D$1,ET.region!$A$51:$M$51,0))</f>
        <v>1.7748031496062995</v>
      </c>
      <c r="E4" s="5">
        <f>INDEX(ET.region!$A$51:$M$61,MATCH(ET.county!$B4,ET.region!$A$51:$A$61,0),MATCH(ET.county!E$1,ET.region!$A$51:$M$51,0))</f>
        <v>3.0633858267716536</v>
      </c>
      <c r="F4" s="5">
        <f>INDEX(ET.region!$A$51:$M$61,MATCH(ET.county!$B4,ET.region!$A$51:$A$61,0),MATCH(ET.county!F$1,ET.region!$A$51:$M$51,0))</f>
        <v>4.4173228346456694</v>
      </c>
      <c r="G4" s="5">
        <f>INDEX(ET.region!$A$51:$M$61,MATCH(ET.county!$B4,ET.region!$A$51:$A$61,0),MATCH(ET.county!G$1,ET.region!$A$51:$M$51,0))</f>
        <v>5.7362204724409454</v>
      </c>
      <c r="H4" s="5">
        <f>INDEX(ET.region!$A$51:$M$61,MATCH(ET.county!$B4,ET.region!$A$51:$A$61,0),MATCH(ET.county!H$1,ET.region!$A$51:$M$51,0))</f>
        <v>6.3070866141732287</v>
      </c>
      <c r="I4" s="5">
        <f>INDEX(ET.region!$A$51:$M$61,MATCH(ET.county!$B4,ET.region!$A$51:$A$61,0),MATCH(ET.county!I$1,ET.region!$A$51:$M$51,0))</f>
        <v>6.5417322834645679</v>
      </c>
      <c r="J4" s="5">
        <f>INDEX(ET.region!$A$51:$M$61,MATCH(ET.county!$B4,ET.region!$A$51:$A$61,0),MATCH(ET.county!J$1,ET.region!$A$51:$M$51,0))</f>
        <v>5.9314960629921272</v>
      </c>
      <c r="K4" s="5">
        <f>INDEX(ET.region!$A$51:$M$61,MATCH(ET.county!$B4,ET.region!$A$51:$A$61,0),MATCH(ET.county!K$1,ET.region!$A$51:$M$51,0))</f>
        <v>4.5118110236220472</v>
      </c>
      <c r="L4" s="5">
        <f>INDEX(ET.region!$A$51:$M$61,MATCH(ET.county!$B4,ET.region!$A$51:$A$61,0),MATCH(ET.county!L$1,ET.region!$A$51:$M$51,0))</f>
        <v>3.270866141732284</v>
      </c>
      <c r="M4" s="5">
        <f>INDEX(ET.region!$A$51:$M$61,MATCH(ET.county!$B4,ET.region!$A$51:$A$61,0),MATCH(ET.county!M$1,ET.region!$A$51:$M$51,0))</f>
        <v>1.9724409448818898</v>
      </c>
      <c r="N4" s="5">
        <f>INDEX(ET.region!$A$51:$M$61,MATCH(ET.county!$B4,ET.region!$A$51:$A$61,0),MATCH(ET.county!N$1,ET.region!$A$51:$M$51,0))</f>
        <v>1.3547244094488189</v>
      </c>
    </row>
    <row r="5" spans="1:14" x14ac:dyDescent="0.3">
      <c r="A5" t="s">
        <v>377</v>
      </c>
      <c r="B5" t="s">
        <v>390</v>
      </c>
      <c r="C5" s="5">
        <f>INDEX(ET.region!$A$51:$M$61,MATCH(ET.county!$B5,ET.region!$A$51:$A$61,0),MATCH(ET.county!C$1,ET.region!$A$51:$M$51,0))</f>
        <v>1.5011811023622048</v>
      </c>
      <c r="D5" s="5">
        <f>INDEX(ET.region!$A$51:$M$61,MATCH(ET.county!$B5,ET.region!$A$51:$A$61,0),MATCH(ET.county!D$1,ET.region!$A$51:$M$51,0))</f>
        <v>1.9622047244094489</v>
      </c>
      <c r="E5" s="5">
        <f>INDEX(ET.region!$A$51:$M$61,MATCH(ET.county!$B5,ET.region!$A$51:$A$61,0),MATCH(ET.county!E$1,ET.region!$A$51:$M$51,0))</f>
        <v>3.4051181102362205</v>
      </c>
      <c r="F5" s="5">
        <f>INDEX(ET.region!$A$51:$M$61,MATCH(ET.county!$B5,ET.region!$A$51:$A$61,0),MATCH(ET.county!F$1,ET.region!$A$51:$M$51,0))</f>
        <v>4.8661417322834648</v>
      </c>
      <c r="G5" s="5">
        <f>INDEX(ET.region!$A$51:$M$61,MATCH(ET.county!$B5,ET.region!$A$51:$A$61,0),MATCH(ET.county!G$1,ET.region!$A$51:$M$51,0))</f>
        <v>6.1755905511811022</v>
      </c>
      <c r="H5" s="5">
        <f>INDEX(ET.region!$A$51:$M$61,MATCH(ET.county!$B5,ET.region!$A$51:$A$61,0),MATCH(ET.county!H$1,ET.region!$A$51:$M$51,0))</f>
        <v>6.7440944881889759</v>
      </c>
      <c r="I5" s="5">
        <f>INDEX(ET.region!$A$51:$M$61,MATCH(ET.county!$B5,ET.region!$A$51:$A$61,0),MATCH(ET.county!I$1,ET.region!$A$51:$M$51,0))</f>
        <v>7.0055118110236227</v>
      </c>
      <c r="J5" s="5">
        <f>INDEX(ET.region!$A$51:$M$61,MATCH(ET.county!$B5,ET.region!$A$51:$A$61,0),MATCH(ET.county!J$1,ET.region!$A$51:$M$51,0))</f>
        <v>6.2244094488188981</v>
      </c>
      <c r="K5" s="5">
        <f>INDEX(ET.region!$A$51:$M$61,MATCH(ET.county!$B5,ET.region!$A$51:$A$61,0),MATCH(ET.county!K$1,ET.region!$A$51:$M$51,0))</f>
        <v>4.771653543307087</v>
      </c>
      <c r="L5" s="5">
        <f>INDEX(ET.region!$A$51:$M$61,MATCH(ET.county!$B5,ET.region!$A$51:$A$61,0),MATCH(ET.county!L$1,ET.region!$A$51:$M$51,0))</f>
        <v>3.4051181102362205</v>
      </c>
      <c r="M5" s="5">
        <f>INDEX(ET.region!$A$51:$M$61,MATCH(ET.county!$B5,ET.region!$A$51:$A$61,0),MATCH(ET.county!M$1,ET.region!$A$51:$M$51,0))</f>
        <v>2.0905511811023625</v>
      </c>
      <c r="N5" s="5">
        <f>INDEX(ET.region!$A$51:$M$61,MATCH(ET.county!$B5,ET.region!$A$51:$A$61,0),MATCH(ET.county!N$1,ET.region!$A$51:$M$51,0))</f>
        <v>1.4889763779527558</v>
      </c>
    </row>
    <row r="6" spans="1:14" x14ac:dyDescent="0.3">
      <c r="A6" t="s">
        <v>374</v>
      </c>
      <c r="B6" t="s">
        <v>394</v>
      </c>
      <c r="C6" s="5">
        <f>INDEX(ET.region!$A$51:$M$61,MATCH(ET.county!$B6,ET.region!$A$51:$A$61,0),MATCH(ET.county!C$1,ET.region!$A$51:$M$51,0))</f>
        <v>1.3913385826771654</v>
      </c>
      <c r="D6" s="5">
        <f>INDEX(ET.region!$A$51:$M$61,MATCH(ET.county!$B6,ET.region!$A$51:$A$61,0),MATCH(ET.county!D$1,ET.region!$A$51:$M$51,0))</f>
        <v>1.7748031496062995</v>
      </c>
      <c r="E6" s="5">
        <f>INDEX(ET.region!$A$51:$M$61,MATCH(ET.county!$B6,ET.region!$A$51:$A$61,0),MATCH(ET.county!E$1,ET.region!$A$51:$M$51,0))</f>
        <v>3.0633858267716536</v>
      </c>
      <c r="F6" s="5">
        <f>INDEX(ET.region!$A$51:$M$61,MATCH(ET.county!$B6,ET.region!$A$51:$A$61,0),MATCH(ET.county!F$1,ET.region!$A$51:$M$51,0))</f>
        <v>4.4173228346456694</v>
      </c>
      <c r="G6" s="5">
        <f>INDEX(ET.region!$A$51:$M$61,MATCH(ET.county!$B6,ET.region!$A$51:$A$61,0),MATCH(ET.county!G$1,ET.region!$A$51:$M$51,0))</f>
        <v>5.7362204724409454</v>
      </c>
      <c r="H6" s="5">
        <f>INDEX(ET.region!$A$51:$M$61,MATCH(ET.county!$B6,ET.region!$A$51:$A$61,0),MATCH(ET.county!H$1,ET.region!$A$51:$M$51,0))</f>
        <v>6.3070866141732287</v>
      </c>
      <c r="I6" s="5">
        <f>INDEX(ET.region!$A$51:$M$61,MATCH(ET.county!$B6,ET.region!$A$51:$A$61,0),MATCH(ET.county!I$1,ET.region!$A$51:$M$51,0))</f>
        <v>6.5417322834645679</v>
      </c>
      <c r="J6" s="5">
        <f>INDEX(ET.region!$A$51:$M$61,MATCH(ET.county!$B6,ET.region!$A$51:$A$61,0),MATCH(ET.county!J$1,ET.region!$A$51:$M$51,0))</f>
        <v>5.9314960629921272</v>
      </c>
      <c r="K6" s="5">
        <f>INDEX(ET.region!$A$51:$M$61,MATCH(ET.county!$B6,ET.region!$A$51:$A$61,0),MATCH(ET.county!K$1,ET.region!$A$51:$M$51,0))</f>
        <v>4.5118110236220472</v>
      </c>
      <c r="L6" s="5">
        <f>INDEX(ET.region!$A$51:$M$61,MATCH(ET.county!$B6,ET.region!$A$51:$A$61,0),MATCH(ET.county!L$1,ET.region!$A$51:$M$51,0))</f>
        <v>3.270866141732284</v>
      </c>
      <c r="M6" s="5">
        <f>INDEX(ET.region!$A$51:$M$61,MATCH(ET.county!$B6,ET.region!$A$51:$A$61,0),MATCH(ET.county!M$1,ET.region!$A$51:$M$51,0))</f>
        <v>1.9724409448818898</v>
      </c>
      <c r="N6" s="5">
        <f>INDEX(ET.region!$A$51:$M$61,MATCH(ET.county!$B6,ET.region!$A$51:$A$61,0),MATCH(ET.county!N$1,ET.region!$A$51:$M$51,0))</f>
        <v>1.3547244094488189</v>
      </c>
    </row>
    <row r="7" spans="1:14" x14ac:dyDescent="0.3">
      <c r="A7" t="s">
        <v>309</v>
      </c>
      <c r="B7" t="s">
        <v>394</v>
      </c>
      <c r="C7" s="5">
        <f>INDEX(ET.region!$A$51:$M$61,MATCH(ET.county!$B7,ET.region!$A$51:$A$61,0),MATCH(ET.county!C$1,ET.region!$A$51:$M$51,0))</f>
        <v>1.3913385826771654</v>
      </c>
      <c r="D7" s="5">
        <f>INDEX(ET.region!$A$51:$M$61,MATCH(ET.county!$B7,ET.region!$A$51:$A$61,0),MATCH(ET.county!D$1,ET.region!$A$51:$M$51,0))</f>
        <v>1.7748031496062995</v>
      </c>
      <c r="E7" s="5">
        <f>INDEX(ET.region!$A$51:$M$61,MATCH(ET.county!$B7,ET.region!$A$51:$A$61,0),MATCH(ET.county!E$1,ET.region!$A$51:$M$51,0))</f>
        <v>3.0633858267716536</v>
      </c>
      <c r="F7" s="5">
        <f>INDEX(ET.region!$A$51:$M$61,MATCH(ET.county!$B7,ET.region!$A$51:$A$61,0),MATCH(ET.county!F$1,ET.region!$A$51:$M$51,0))</f>
        <v>4.4173228346456694</v>
      </c>
      <c r="G7" s="5">
        <f>INDEX(ET.region!$A$51:$M$61,MATCH(ET.county!$B7,ET.region!$A$51:$A$61,0),MATCH(ET.county!G$1,ET.region!$A$51:$M$51,0))</f>
        <v>5.7362204724409454</v>
      </c>
      <c r="H7" s="5">
        <f>INDEX(ET.region!$A$51:$M$61,MATCH(ET.county!$B7,ET.region!$A$51:$A$61,0),MATCH(ET.county!H$1,ET.region!$A$51:$M$51,0))</f>
        <v>6.3070866141732287</v>
      </c>
      <c r="I7" s="5">
        <f>INDEX(ET.region!$A$51:$M$61,MATCH(ET.county!$B7,ET.region!$A$51:$A$61,0),MATCH(ET.county!I$1,ET.region!$A$51:$M$51,0))</f>
        <v>6.5417322834645679</v>
      </c>
      <c r="J7" s="5">
        <f>INDEX(ET.region!$A$51:$M$61,MATCH(ET.county!$B7,ET.region!$A$51:$A$61,0),MATCH(ET.county!J$1,ET.region!$A$51:$M$51,0))</f>
        <v>5.9314960629921272</v>
      </c>
      <c r="K7" s="5">
        <f>INDEX(ET.region!$A$51:$M$61,MATCH(ET.county!$B7,ET.region!$A$51:$A$61,0),MATCH(ET.county!K$1,ET.region!$A$51:$M$51,0))</f>
        <v>4.5118110236220472</v>
      </c>
      <c r="L7" s="5">
        <f>INDEX(ET.region!$A$51:$M$61,MATCH(ET.county!$B7,ET.region!$A$51:$A$61,0),MATCH(ET.county!L$1,ET.region!$A$51:$M$51,0))</f>
        <v>3.270866141732284</v>
      </c>
      <c r="M7" s="5">
        <f>INDEX(ET.region!$A$51:$M$61,MATCH(ET.county!$B7,ET.region!$A$51:$A$61,0),MATCH(ET.county!M$1,ET.region!$A$51:$M$51,0))</f>
        <v>1.9724409448818898</v>
      </c>
      <c r="N7" s="5">
        <f>INDEX(ET.region!$A$51:$M$61,MATCH(ET.county!$B7,ET.region!$A$51:$A$61,0),MATCH(ET.county!N$1,ET.region!$A$51:$M$51,0))</f>
        <v>1.3547244094488189</v>
      </c>
    </row>
    <row r="8" spans="1:14" x14ac:dyDescent="0.3">
      <c r="A8" t="s">
        <v>308</v>
      </c>
      <c r="B8" t="s">
        <v>386</v>
      </c>
      <c r="C8" s="5">
        <f>INDEX(ET.region!$A$51:$M$61,MATCH(ET.county!$B8,ET.region!$A$51:$A$61,0),MATCH(ET.county!C$1,ET.region!$A$51:$M$51,0))</f>
        <v>1.581</v>
      </c>
      <c r="D8" s="5">
        <f>INDEX(ET.region!$A$51:$M$61,MATCH(ET.county!$B8,ET.region!$A$51:$A$61,0),MATCH(ET.county!D$1,ET.region!$A$51:$M$51,0))</f>
        <v>1.9600000000000002</v>
      </c>
      <c r="E8" s="5">
        <f>INDEX(ET.region!$A$51:$M$61,MATCH(ET.county!$B8,ET.region!$A$51:$A$61,0),MATCH(ET.county!E$1,ET.region!$A$51:$M$51,0))</f>
        <v>3.2549999999999999</v>
      </c>
      <c r="F8" s="5">
        <f>INDEX(ET.region!$A$51:$M$61,MATCH(ET.county!$B8,ET.region!$A$51:$A$61,0),MATCH(ET.county!F$1,ET.region!$A$51:$M$51,0))</f>
        <v>4.59</v>
      </c>
      <c r="G8" s="5">
        <f>INDEX(ET.region!$A$51:$M$61,MATCH(ET.county!$B8,ET.region!$A$51:$A$61,0),MATCH(ET.county!G$1,ET.region!$A$51:$M$51,0))</f>
        <v>5.7969999999999997</v>
      </c>
      <c r="H8" s="5">
        <f>INDEX(ET.region!$A$51:$M$61,MATCH(ET.county!$B8,ET.region!$A$51:$A$61,0),MATCH(ET.county!H$1,ET.region!$A$51:$M$51,0))</f>
        <v>6.2399999999999993</v>
      </c>
      <c r="I8" s="5">
        <f>INDEX(ET.region!$A$51:$M$61,MATCH(ET.county!$B8,ET.region!$A$51:$A$61,0),MATCH(ET.county!I$1,ET.region!$A$51:$M$51,0))</f>
        <v>6.4790000000000001</v>
      </c>
      <c r="J8" s="5">
        <f>INDEX(ET.region!$A$51:$M$61,MATCH(ET.county!$B8,ET.region!$A$51:$A$61,0),MATCH(ET.county!J$1,ET.region!$A$51:$M$51,0))</f>
        <v>5.7350000000000003</v>
      </c>
      <c r="K8" s="5">
        <f>INDEX(ET.region!$A$51:$M$61,MATCH(ET.county!$B8,ET.region!$A$51:$A$61,0),MATCH(ET.county!K$1,ET.region!$A$51:$M$51,0))</f>
        <v>4.38</v>
      </c>
      <c r="L8" s="5">
        <f>INDEX(ET.region!$A$51:$M$61,MATCH(ET.county!$B8,ET.region!$A$51:$A$61,0),MATCH(ET.county!L$1,ET.region!$A$51:$M$51,0))</f>
        <v>3.2549999999999999</v>
      </c>
      <c r="M8" s="5">
        <f>INDEX(ET.region!$A$51:$M$61,MATCH(ET.county!$B8,ET.region!$A$51:$A$61,0),MATCH(ET.county!M$1,ET.region!$A$51:$M$51,0))</f>
        <v>2.0700000000000003</v>
      </c>
      <c r="N8" s="5">
        <f>INDEX(ET.region!$A$51:$M$61,MATCH(ET.county!$B8,ET.region!$A$51:$A$61,0),MATCH(ET.county!N$1,ET.region!$A$51:$M$51,0))</f>
        <v>1.55</v>
      </c>
    </row>
    <row r="9" spans="1:14" x14ac:dyDescent="0.3">
      <c r="A9" t="s">
        <v>350</v>
      </c>
      <c r="B9" t="s">
        <v>395</v>
      </c>
      <c r="C9" s="5">
        <f>INDEX(ET.region!$A$51:$M$61,MATCH(ET.county!$B9,ET.region!$A$51:$A$61,0),MATCH(ET.county!C$1,ET.region!$A$51:$M$51,0))</f>
        <v>1.5255905511811025</v>
      </c>
      <c r="D9" s="5">
        <f>INDEX(ET.region!$A$51:$M$61,MATCH(ET.county!$B9,ET.region!$A$51:$A$61,0),MATCH(ET.county!D$1,ET.region!$A$51:$M$51,0))</f>
        <v>2.0173228346456695</v>
      </c>
      <c r="E9" s="5">
        <f>INDEX(ET.region!$A$51:$M$61,MATCH(ET.county!$B9,ET.region!$A$51:$A$61,0),MATCH(ET.county!E$1,ET.region!$A$51:$M$51,0))</f>
        <v>3.4905511811023624</v>
      </c>
      <c r="F9" s="5">
        <f>INDEX(ET.region!$A$51:$M$61,MATCH(ET.county!$B9,ET.region!$A$51:$A$61,0),MATCH(ET.county!F$1,ET.region!$A$51:$M$51,0))</f>
        <v>5.0551181102362204</v>
      </c>
      <c r="G9" s="5">
        <f>INDEX(ET.region!$A$51:$M$61,MATCH(ET.county!$B9,ET.region!$A$51:$A$61,0),MATCH(ET.county!G$1,ET.region!$A$51:$M$51,0))</f>
        <v>6.4318897637795267</v>
      </c>
      <c r="H9" s="5">
        <f>INDEX(ET.region!$A$51:$M$61,MATCH(ET.county!$B9,ET.region!$A$51:$A$61,0),MATCH(ET.county!H$1,ET.region!$A$51:$M$51,0))</f>
        <v>7.0748031496063</v>
      </c>
      <c r="I9" s="5">
        <f>INDEX(ET.region!$A$51:$M$61,MATCH(ET.county!$B9,ET.region!$A$51:$A$61,0),MATCH(ET.county!I$1,ET.region!$A$51:$M$51,0))</f>
        <v>7.359448818897639</v>
      </c>
      <c r="J9" s="5">
        <f>INDEX(ET.region!$A$51:$M$61,MATCH(ET.county!$B9,ET.region!$A$51:$A$61,0),MATCH(ET.county!J$1,ET.region!$A$51:$M$51,0))</f>
        <v>6.566141732283465</v>
      </c>
      <c r="K9" s="5">
        <f>INDEX(ET.region!$A$51:$M$61,MATCH(ET.county!$B9,ET.region!$A$51:$A$61,0),MATCH(ET.county!K$1,ET.region!$A$51:$M$51,0))</f>
        <v>4.9488188976377963</v>
      </c>
      <c r="L9" s="5">
        <f>INDEX(ET.region!$A$51:$M$61,MATCH(ET.county!$B9,ET.region!$A$51:$A$61,0),MATCH(ET.county!L$1,ET.region!$A$51:$M$51,0))</f>
        <v>3.5759842519685043</v>
      </c>
      <c r="M9" s="5">
        <f>INDEX(ET.region!$A$51:$M$61,MATCH(ET.county!$B9,ET.region!$A$51:$A$61,0),MATCH(ET.county!M$1,ET.region!$A$51:$M$51,0))</f>
        <v>2.1968503937007875</v>
      </c>
      <c r="N9" s="5">
        <f>INDEX(ET.region!$A$51:$M$61,MATCH(ET.county!$B9,ET.region!$A$51:$A$61,0),MATCH(ET.county!N$1,ET.region!$A$51:$M$51,0))</f>
        <v>1.5255905511811025</v>
      </c>
    </row>
    <row r="10" spans="1:14" x14ac:dyDescent="0.3">
      <c r="A10" t="s">
        <v>329</v>
      </c>
      <c r="B10" t="s">
        <v>388</v>
      </c>
      <c r="C10" s="5">
        <f>INDEX(ET.region!$A$51:$M$61,MATCH(ET.county!$B10,ET.region!$A$51:$A$61,0),MATCH(ET.county!C$1,ET.region!$A$51:$M$51,0))</f>
        <v>1.6964566929133857</v>
      </c>
      <c r="D10" s="5">
        <f>INDEX(ET.region!$A$51:$M$61,MATCH(ET.county!$B10,ET.region!$A$51:$A$61,0),MATCH(ET.county!D$1,ET.region!$A$51:$M$51,0))</f>
        <v>2.1496062992125986</v>
      </c>
      <c r="E10" s="5">
        <f>INDEX(ET.region!$A$51:$M$61,MATCH(ET.county!$B10,ET.region!$A$51:$A$61,0),MATCH(ET.county!E$1,ET.region!$A$51:$M$51,0))</f>
        <v>3.6248031496062993</v>
      </c>
      <c r="F10" s="5">
        <f>INDEX(ET.region!$A$51:$M$61,MATCH(ET.county!$B10,ET.region!$A$51:$A$61,0),MATCH(ET.county!F$1,ET.region!$A$51:$M$51,0))</f>
        <v>4.9724409448818898</v>
      </c>
      <c r="G10" s="5">
        <f>INDEX(ET.region!$A$51:$M$61,MATCH(ET.county!$B10,ET.region!$A$51:$A$61,0),MATCH(ET.county!G$1,ET.region!$A$51:$M$51,0))</f>
        <v>6.2976377952755911</v>
      </c>
      <c r="H10" s="5">
        <f>INDEX(ET.region!$A$51:$M$61,MATCH(ET.county!$B10,ET.region!$A$51:$A$61,0),MATCH(ET.county!H$1,ET.region!$A$51:$M$51,0))</f>
        <v>6.6141732283464565</v>
      </c>
      <c r="I10" s="5">
        <f>INDEX(ET.region!$A$51:$M$61,MATCH(ET.county!$B10,ET.region!$A$51:$A$61,0),MATCH(ET.county!I$1,ET.region!$A$51:$M$51,0))</f>
        <v>6.8590551181102368</v>
      </c>
      <c r="J10" s="5">
        <f>INDEX(ET.region!$A$51:$M$61,MATCH(ET.county!$B10,ET.region!$A$51:$A$61,0),MATCH(ET.county!J$1,ET.region!$A$51:$M$51,0))</f>
        <v>6.1755905511811022</v>
      </c>
      <c r="K10" s="5">
        <f>INDEX(ET.region!$A$51:$M$61,MATCH(ET.county!$B10,ET.region!$A$51:$A$61,0),MATCH(ET.county!K$1,ET.region!$A$51:$M$51,0))</f>
        <v>4.8661417322834648</v>
      </c>
      <c r="L10" s="5">
        <f>INDEX(ET.region!$A$51:$M$61,MATCH(ET.county!$B10,ET.region!$A$51:$A$61,0),MATCH(ET.county!L$1,ET.region!$A$51:$M$51,0))</f>
        <v>3.6370078740157483</v>
      </c>
      <c r="M10" s="5">
        <f>INDEX(ET.region!$A$51:$M$61,MATCH(ET.county!$B10,ET.region!$A$51:$A$61,0),MATCH(ET.county!M$1,ET.region!$A$51:$M$51,0))</f>
        <v>2.3622047244094486</v>
      </c>
      <c r="N10" s="5">
        <f>INDEX(ET.region!$A$51:$M$61,MATCH(ET.county!$B10,ET.region!$A$51:$A$61,0),MATCH(ET.county!N$1,ET.region!$A$51:$M$51,0))</f>
        <v>1.684251968503937</v>
      </c>
    </row>
    <row r="11" spans="1:14" x14ac:dyDescent="0.3">
      <c r="A11" t="s">
        <v>369</v>
      </c>
      <c r="B11" t="s">
        <v>388</v>
      </c>
      <c r="C11" s="5">
        <f>INDEX(ET.region!$A$51:$M$61,MATCH(ET.county!$B11,ET.region!$A$51:$A$61,0),MATCH(ET.county!C$1,ET.region!$A$51:$M$51,0))</f>
        <v>1.6964566929133857</v>
      </c>
      <c r="D11" s="5">
        <f>INDEX(ET.region!$A$51:$M$61,MATCH(ET.county!$B11,ET.region!$A$51:$A$61,0),MATCH(ET.county!D$1,ET.region!$A$51:$M$51,0))</f>
        <v>2.1496062992125986</v>
      </c>
      <c r="E11" s="5">
        <f>INDEX(ET.region!$A$51:$M$61,MATCH(ET.county!$B11,ET.region!$A$51:$A$61,0),MATCH(ET.county!E$1,ET.region!$A$51:$M$51,0))</f>
        <v>3.6248031496062993</v>
      </c>
      <c r="F11" s="5">
        <f>INDEX(ET.region!$A$51:$M$61,MATCH(ET.county!$B11,ET.region!$A$51:$A$61,0),MATCH(ET.county!F$1,ET.region!$A$51:$M$51,0))</f>
        <v>4.9724409448818898</v>
      </c>
      <c r="G11" s="5">
        <f>INDEX(ET.region!$A$51:$M$61,MATCH(ET.county!$B11,ET.region!$A$51:$A$61,0),MATCH(ET.county!G$1,ET.region!$A$51:$M$51,0))</f>
        <v>6.2976377952755911</v>
      </c>
      <c r="H11" s="5">
        <f>INDEX(ET.region!$A$51:$M$61,MATCH(ET.county!$B11,ET.region!$A$51:$A$61,0),MATCH(ET.county!H$1,ET.region!$A$51:$M$51,0))</f>
        <v>6.6141732283464565</v>
      </c>
      <c r="I11" s="5">
        <f>INDEX(ET.region!$A$51:$M$61,MATCH(ET.county!$B11,ET.region!$A$51:$A$61,0),MATCH(ET.county!I$1,ET.region!$A$51:$M$51,0))</f>
        <v>6.8590551181102368</v>
      </c>
      <c r="J11" s="5">
        <f>INDEX(ET.region!$A$51:$M$61,MATCH(ET.county!$B11,ET.region!$A$51:$A$61,0),MATCH(ET.county!J$1,ET.region!$A$51:$M$51,0))</f>
        <v>6.1755905511811022</v>
      </c>
      <c r="K11" s="5">
        <f>INDEX(ET.region!$A$51:$M$61,MATCH(ET.county!$B11,ET.region!$A$51:$A$61,0),MATCH(ET.county!K$1,ET.region!$A$51:$M$51,0))</f>
        <v>4.8661417322834648</v>
      </c>
      <c r="L11" s="5">
        <f>INDEX(ET.region!$A$51:$M$61,MATCH(ET.county!$B11,ET.region!$A$51:$A$61,0),MATCH(ET.county!L$1,ET.region!$A$51:$M$51,0))</f>
        <v>3.6370078740157483</v>
      </c>
      <c r="M11" s="5">
        <f>INDEX(ET.region!$A$51:$M$61,MATCH(ET.county!$B11,ET.region!$A$51:$A$61,0),MATCH(ET.county!M$1,ET.region!$A$51:$M$51,0))</f>
        <v>2.3622047244094486</v>
      </c>
      <c r="N11" s="5">
        <f>INDEX(ET.region!$A$51:$M$61,MATCH(ET.county!$B11,ET.region!$A$51:$A$61,0),MATCH(ET.county!N$1,ET.region!$A$51:$M$51,0))</f>
        <v>1.684251968503937</v>
      </c>
    </row>
    <row r="12" spans="1:14" x14ac:dyDescent="0.3">
      <c r="A12" t="s">
        <v>306</v>
      </c>
      <c r="B12" t="s">
        <v>394</v>
      </c>
      <c r="C12" s="5">
        <f>INDEX(ET.region!$A$51:$M$61,MATCH(ET.county!$B12,ET.region!$A$51:$A$61,0),MATCH(ET.county!C$1,ET.region!$A$51:$M$51,0))</f>
        <v>1.3913385826771654</v>
      </c>
      <c r="D12" s="5">
        <f>INDEX(ET.region!$A$51:$M$61,MATCH(ET.county!$B12,ET.region!$A$51:$A$61,0),MATCH(ET.county!D$1,ET.region!$A$51:$M$51,0))</f>
        <v>1.7748031496062995</v>
      </c>
      <c r="E12" s="5">
        <f>INDEX(ET.region!$A$51:$M$61,MATCH(ET.county!$B12,ET.region!$A$51:$A$61,0),MATCH(ET.county!E$1,ET.region!$A$51:$M$51,0))</f>
        <v>3.0633858267716536</v>
      </c>
      <c r="F12" s="5">
        <f>INDEX(ET.region!$A$51:$M$61,MATCH(ET.county!$B12,ET.region!$A$51:$A$61,0),MATCH(ET.county!F$1,ET.region!$A$51:$M$51,0))</f>
        <v>4.4173228346456694</v>
      </c>
      <c r="G12" s="5">
        <f>INDEX(ET.region!$A$51:$M$61,MATCH(ET.county!$B12,ET.region!$A$51:$A$61,0),MATCH(ET.county!G$1,ET.region!$A$51:$M$51,0))</f>
        <v>5.7362204724409454</v>
      </c>
      <c r="H12" s="5">
        <f>INDEX(ET.region!$A$51:$M$61,MATCH(ET.county!$B12,ET.region!$A$51:$A$61,0),MATCH(ET.county!H$1,ET.region!$A$51:$M$51,0))</f>
        <v>6.3070866141732287</v>
      </c>
      <c r="I12" s="5">
        <f>INDEX(ET.region!$A$51:$M$61,MATCH(ET.county!$B12,ET.region!$A$51:$A$61,0),MATCH(ET.county!I$1,ET.region!$A$51:$M$51,0))</f>
        <v>6.5417322834645679</v>
      </c>
      <c r="J12" s="5">
        <f>INDEX(ET.region!$A$51:$M$61,MATCH(ET.county!$B12,ET.region!$A$51:$A$61,0),MATCH(ET.county!J$1,ET.region!$A$51:$M$51,0))</f>
        <v>5.9314960629921272</v>
      </c>
      <c r="K12" s="5">
        <f>INDEX(ET.region!$A$51:$M$61,MATCH(ET.county!$B12,ET.region!$A$51:$A$61,0),MATCH(ET.county!K$1,ET.region!$A$51:$M$51,0))</f>
        <v>4.5118110236220472</v>
      </c>
      <c r="L12" s="5">
        <f>INDEX(ET.region!$A$51:$M$61,MATCH(ET.county!$B12,ET.region!$A$51:$A$61,0),MATCH(ET.county!L$1,ET.region!$A$51:$M$51,0))</f>
        <v>3.270866141732284</v>
      </c>
      <c r="M12" s="5">
        <f>INDEX(ET.region!$A$51:$M$61,MATCH(ET.county!$B12,ET.region!$A$51:$A$61,0),MATCH(ET.county!M$1,ET.region!$A$51:$M$51,0))</f>
        <v>1.9724409448818898</v>
      </c>
      <c r="N12" s="5">
        <f>INDEX(ET.region!$A$51:$M$61,MATCH(ET.county!$B12,ET.region!$A$51:$A$61,0),MATCH(ET.county!N$1,ET.region!$A$51:$M$51,0))</f>
        <v>1.3547244094488189</v>
      </c>
    </row>
    <row r="13" spans="1:14" x14ac:dyDescent="0.3">
      <c r="A13" t="s">
        <v>313</v>
      </c>
      <c r="B13" t="s">
        <v>393</v>
      </c>
      <c r="C13" s="5">
        <f>INDEX(ET.region!$A$51:$M$61,MATCH(ET.county!$B13,ET.region!$A$51:$A$61,0),MATCH(ET.county!C$1,ET.region!$A$51:$M$51,0))</f>
        <v>1.4523622047244096</v>
      </c>
      <c r="D13" s="5">
        <f>INDEX(ET.region!$A$51:$M$61,MATCH(ET.county!$B13,ET.region!$A$51:$A$61,0),MATCH(ET.county!D$1,ET.region!$A$51:$M$51,0))</f>
        <v>1.8850393700787402</v>
      </c>
      <c r="E13" s="5">
        <f>INDEX(ET.region!$A$51:$M$61,MATCH(ET.county!$B13,ET.region!$A$51:$A$61,0),MATCH(ET.county!E$1,ET.region!$A$51:$M$51,0))</f>
        <v>3.1610236220472441</v>
      </c>
      <c r="F13" s="5">
        <f>INDEX(ET.region!$A$51:$M$61,MATCH(ET.county!$B13,ET.region!$A$51:$A$61,0),MATCH(ET.county!F$1,ET.region!$A$51:$M$51,0))</f>
        <v>4.346456692913387</v>
      </c>
      <c r="G13" s="5">
        <f>INDEX(ET.region!$A$51:$M$61,MATCH(ET.county!$B13,ET.region!$A$51:$A$61,0),MATCH(ET.county!G$1,ET.region!$A$51:$M$51,0))</f>
        <v>5.333464566929135</v>
      </c>
      <c r="H13" s="5">
        <f>INDEX(ET.region!$A$51:$M$61,MATCH(ET.county!$B13,ET.region!$A$51:$A$61,0),MATCH(ET.county!H$1,ET.region!$A$51:$M$51,0))</f>
        <v>5.5748031496062991</v>
      </c>
      <c r="I13" s="5">
        <f>INDEX(ET.region!$A$51:$M$61,MATCH(ET.county!$B13,ET.region!$A$51:$A$61,0),MATCH(ET.county!I$1,ET.region!$A$51:$M$51,0))</f>
        <v>5.6751968503937018</v>
      </c>
      <c r="J13" s="5">
        <f>INDEX(ET.region!$A$51:$M$61,MATCH(ET.county!$B13,ET.region!$A$51:$A$61,0),MATCH(ET.county!J$1,ET.region!$A$51:$M$51,0))</f>
        <v>5.0893700787401581</v>
      </c>
      <c r="K13" s="5">
        <f>INDEX(ET.region!$A$51:$M$61,MATCH(ET.county!$B13,ET.region!$A$51:$A$61,0),MATCH(ET.county!K$1,ET.region!$A$51:$M$51,0))</f>
        <v>4.015748031496063</v>
      </c>
      <c r="L13" s="5">
        <f>INDEX(ET.region!$A$51:$M$61,MATCH(ET.county!$B13,ET.region!$A$51:$A$61,0),MATCH(ET.county!L$1,ET.region!$A$51:$M$51,0))</f>
        <v>3.0633858267716536</v>
      </c>
      <c r="M13" s="5">
        <f>INDEX(ET.region!$A$51:$M$61,MATCH(ET.county!$B13,ET.region!$A$51:$A$61,0),MATCH(ET.county!M$1,ET.region!$A$51:$M$51,0))</f>
        <v>1.9606299212598426</v>
      </c>
      <c r="N13" s="5">
        <f>INDEX(ET.region!$A$51:$M$61,MATCH(ET.county!$B13,ET.region!$A$51:$A$61,0),MATCH(ET.county!N$1,ET.region!$A$51:$M$51,0))</f>
        <v>1.3913385826771654</v>
      </c>
    </row>
    <row r="14" spans="1:14" x14ac:dyDescent="0.3">
      <c r="A14" t="s">
        <v>325</v>
      </c>
      <c r="B14" t="s">
        <v>392</v>
      </c>
      <c r="C14" s="5">
        <f>INDEX(ET.region!$A$51:$M$61,MATCH(ET.county!$B14,ET.region!$A$51:$A$61,0),MATCH(ET.county!C$1,ET.region!$A$51:$M$51,0))</f>
        <v>1.4889763779527558</v>
      </c>
      <c r="D14" s="5">
        <f>INDEX(ET.region!$A$51:$M$61,MATCH(ET.county!$B14,ET.region!$A$51:$A$61,0),MATCH(ET.county!D$1,ET.region!$A$51:$M$51,0))</f>
        <v>1.9401574803149606</v>
      </c>
      <c r="E14" s="5">
        <f>INDEX(ET.region!$A$51:$M$61,MATCH(ET.county!$B14,ET.region!$A$51:$A$61,0),MATCH(ET.county!E$1,ET.region!$A$51:$M$51,0))</f>
        <v>3.2952755905511819</v>
      </c>
      <c r="F14" s="5">
        <f>INDEX(ET.region!$A$51:$M$61,MATCH(ET.county!$B14,ET.region!$A$51:$A$61,0),MATCH(ET.county!F$1,ET.region!$A$51:$M$51,0))</f>
        <v>4.7007874015748037</v>
      </c>
      <c r="G14" s="5">
        <f>INDEX(ET.region!$A$51:$M$61,MATCH(ET.county!$B14,ET.region!$A$51:$A$61,0),MATCH(ET.county!G$1,ET.region!$A$51:$M$51,0))</f>
        <v>6.0169291338582678</v>
      </c>
      <c r="H14" s="5">
        <f>INDEX(ET.region!$A$51:$M$61,MATCH(ET.county!$B14,ET.region!$A$51:$A$61,0),MATCH(ET.county!H$1,ET.region!$A$51:$M$51,0))</f>
        <v>6.6496062992125982</v>
      </c>
      <c r="I14" s="5">
        <f>INDEX(ET.region!$A$51:$M$61,MATCH(ET.county!$B14,ET.region!$A$51:$A$61,0),MATCH(ET.county!I$1,ET.region!$A$51:$M$51,0))</f>
        <v>6.9322834645669289</v>
      </c>
      <c r="J14" s="5">
        <f>INDEX(ET.region!$A$51:$M$61,MATCH(ET.county!$B14,ET.region!$A$51:$A$61,0),MATCH(ET.county!J$1,ET.region!$A$51:$M$51,0))</f>
        <v>6.1755905511811022</v>
      </c>
      <c r="K14" s="5">
        <f>INDEX(ET.region!$A$51:$M$61,MATCH(ET.county!$B14,ET.region!$A$51:$A$61,0),MATCH(ET.county!K$1,ET.region!$A$51:$M$51,0))</f>
        <v>4.7125984251968509</v>
      </c>
      <c r="L14" s="5">
        <f>INDEX(ET.region!$A$51:$M$61,MATCH(ET.county!$B14,ET.region!$A$51:$A$61,0),MATCH(ET.county!L$1,ET.region!$A$51:$M$51,0))</f>
        <v>3.4173228346456694</v>
      </c>
      <c r="M14" s="5">
        <f>INDEX(ET.region!$A$51:$M$61,MATCH(ET.county!$B14,ET.region!$A$51:$A$61,0),MATCH(ET.county!M$1,ET.region!$A$51:$M$51,0))</f>
        <v>2.1141732283464569</v>
      </c>
      <c r="N14" s="5">
        <f>INDEX(ET.region!$A$51:$M$61,MATCH(ET.county!$B14,ET.region!$A$51:$A$61,0),MATCH(ET.county!N$1,ET.region!$A$51:$M$51,0))</f>
        <v>1.4523622047244096</v>
      </c>
    </row>
    <row r="15" spans="1:14" x14ac:dyDescent="0.3">
      <c r="A15" t="s">
        <v>349</v>
      </c>
      <c r="B15" t="s">
        <v>393</v>
      </c>
      <c r="C15" s="5">
        <f>INDEX(ET.region!$A$51:$M$61,MATCH(ET.county!$B15,ET.region!$A$51:$A$61,0),MATCH(ET.county!C$1,ET.region!$A$51:$M$51,0))</f>
        <v>1.4523622047244096</v>
      </c>
      <c r="D15" s="5">
        <f>INDEX(ET.region!$A$51:$M$61,MATCH(ET.county!$B15,ET.region!$A$51:$A$61,0),MATCH(ET.county!D$1,ET.region!$A$51:$M$51,0))</f>
        <v>1.8850393700787402</v>
      </c>
      <c r="E15" s="5">
        <f>INDEX(ET.region!$A$51:$M$61,MATCH(ET.county!$B15,ET.region!$A$51:$A$61,0),MATCH(ET.county!E$1,ET.region!$A$51:$M$51,0))</f>
        <v>3.1610236220472441</v>
      </c>
      <c r="F15" s="5">
        <f>INDEX(ET.region!$A$51:$M$61,MATCH(ET.county!$B15,ET.region!$A$51:$A$61,0),MATCH(ET.county!F$1,ET.region!$A$51:$M$51,0))</f>
        <v>4.346456692913387</v>
      </c>
      <c r="G15" s="5">
        <f>INDEX(ET.region!$A$51:$M$61,MATCH(ET.county!$B15,ET.region!$A$51:$A$61,0),MATCH(ET.county!G$1,ET.region!$A$51:$M$51,0))</f>
        <v>5.333464566929135</v>
      </c>
      <c r="H15" s="5">
        <f>INDEX(ET.region!$A$51:$M$61,MATCH(ET.county!$B15,ET.region!$A$51:$A$61,0),MATCH(ET.county!H$1,ET.region!$A$51:$M$51,0))</f>
        <v>5.5748031496062991</v>
      </c>
      <c r="I15" s="5">
        <f>INDEX(ET.region!$A$51:$M$61,MATCH(ET.county!$B15,ET.region!$A$51:$A$61,0),MATCH(ET.county!I$1,ET.region!$A$51:$M$51,0))</f>
        <v>5.6751968503937018</v>
      </c>
      <c r="J15" s="5">
        <f>INDEX(ET.region!$A$51:$M$61,MATCH(ET.county!$B15,ET.region!$A$51:$A$61,0),MATCH(ET.county!J$1,ET.region!$A$51:$M$51,0))</f>
        <v>5.0893700787401581</v>
      </c>
      <c r="K15" s="5">
        <f>INDEX(ET.region!$A$51:$M$61,MATCH(ET.county!$B15,ET.region!$A$51:$A$61,0),MATCH(ET.county!K$1,ET.region!$A$51:$M$51,0))</f>
        <v>4.015748031496063</v>
      </c>
      <c r="L15" s="5">
        <f>INDEX(ET.region!$A$51:$M$61,MATCH(ET.county!$B15,ET.region!$A$51:$A$61,0),MATCH(ET.county!L$1,ET.region!$A$51:$M$51,0))</f>
        <v>3.0633858267716536</v>
      </c>
      <c r="M15" s="5">
        <f>INDEX(ET.region!$A$51:$M$61,MATCH(ET.county!$B15,ET.region!$A$51:$A$61,0),MATCH(ET.county!M$1,ET.region!$A$51:$M$51,0))</f>
        <v>1.9606299212598426</v>
      </c>
      <c r="N15" s="5">
        <f>INDEX(ET.region!$A$51:$M$61,MATCH(ET.county!$B15,ET.region!$A$51:$A$61,0),MATCH(ET.county!N$1,ET.region!$A$51:$M$51,0))</f>
        <v>1.3913385826771654</v>
      </c>
    </row>
    <row r="16" spans="1:14" x14ac:dyDescent="0.3">
      <c r="A16" t="s">
        <v>712</v>
      </c>
      <c r="B16" t="s">
        <v>395</v>
      </c>
      <c r="C16" s="5">
        <f>INDEX(ET.region!$A$51:$M$61,MATCH(ET.county!$B16,ET.region!$A$51:$A$61,0),MATCH(ET.county!C$1,ET.region!$A$51:$M$51,0))</f>
        <v>1.5255905511811025</v>
      </c>
      <c r="D16" s="5">
        <f>INDEX(ET.region!$A$51:$M$61,MATCH(ET.county!$B16,ET.region!$A$51:$A$61,0),MATCH(ET.county!D$1,ET.region!$A$51:$M$51,0))</f>
        <v>2.0173228346456695</v>
      </c>
      <c r="E16" s="5">
        <f>INDEX(ET.region!$A$51:$M$61,MATCH(ET.county!$B16,ET.region!$A$51:$A$61,0),MATCH(ET.county!E$1,ET.region!$A$51:$M$51,0))</f>
        <v>3.4905511811023624</v>
      </c>
      <c r="F16" s="5">
        <f>INDEX(ET.region!$A$51:$M$61,MATCH(ET.county!$B16,ET.region!$A$51:$A$61,0),MATCH(ET.county!F$1,ET.region!$A$51:$M$51,0))</f>
        <v>5.0551181102362204</v>
      </c>
      <c r="G16" s="5">
        <f>INDEX(ET.region!$A$51:$M$61,MATCH(ET.county!$B16,ET.region!$A$51:$A$61,0),MATCH(ET.county!G$1,ET.region!$A$51:$M$51,0))</f>
        <v>6.4318897637795267</v>
      </c>
      <c r="H16" s="5">
        <f>INDEX(ET.region!$A$51:$M$61,MATCH(ET.county!$B16,ET.region!$A$51:$A$61,0),MATCH(ET.county!H$1,ET.region!$A$51:$M$51,0))</f>
        <v>7.0748031496063</v>
      </c>
      <c r="I16" s="5">
        <f>INDEX(ET.region!$A$51:$M$61,MATCH(ET.county!$B16,ET.region!$A$51:$A$61,0),MATCH(ET.county!I$1,ET.region!$A$51:$M$51,0))</f>
        <v>7.359448818897639</v>
      </c>
      <c r="J16" s="5">
        <f>INDEX(ET.region!$A$51:$M$61,MATCH(ET.county!$B16,ET.region!$A$51:$A$61,0),MATCH(ET.county!J$1,ET.region!$A$51:$M$51,0))</f>
        <v>6.566141732283465</v>
      </c>
      <c r="K16" s="5">
        <f>INDEX(ET.region!$A$51:$M$61,MATCH(ET.county!$B16,ET.region!$A$51:$A$61,0),MATCH(ET.county!K$1,ET.region!$A$51:$M$51,0))</f>
        <v>4.9488188976377963</v>
      </c>
      <c r="L16" s="5">
        <f>INDEX(ET.region!$A$51:$M$61,MATCH(ET.county!$B16,ET.region!$A$51:$A$61,0),MATCH(ET.county!L$1,ET.region!$A$51:$M$51,0))</f>
        <v>3.5759842519685043</v>
      </c>
      <c r="M16" s="5">
        <f>INDEX(ET.region!$A$51:$M$61,MATCH(ET.county!$B16,ET.region!$A$51:$A$61,0),MATCH(ET.county!M$1,ET.region!$A$51:$M$51,0))</f>
        <v>2.1968503937007875</v>
      </c>
      <c r="N16" s="5">
        <f>INDEX(ET.region!$A$51:$M$61,MATCH(ET.county!$B16,ET.region!$A$51:$A$61,0),MATCH(ET.county!N$1,ET.region!$A$51:$M$51,0))</f>
        <v>1.5255905511811025</v>
      </c>
    </row>
    <row r="17" spans="1:14" x14ac:dyDescent="0.3">
      <c r="A17" t="s">
        <v>307</v>
      </c>
      <c r="B17" t="s">
        <v>386</v>
      </c>
      <c r="C17" s="5">
        <f>INDEX(ET.region!$A$51:$M$61,MATCH(ET.county!$B17,ET.region!$A$51:$A$61,0),MATCH(ET.county!C$1,ET.region!$A$51:$M$51,0))</f>
        <v>1.581</v>
      </c>
      <c r="D17" s="5">
        <f>INDEX(ET.region!$A$51:$M$61,MATCH(ET.county!$B17,ET.region!$A$51:$A$61,0),MATCH(ET.county!D$1,ET.region!$A$51:$M$51,0))</f>
        <v>1.9600000000000002</v>
      </c>
      <c r="E17" s="5">
        <f>INDEX(ET.region!$A$51:$M$61,MATCH(ET.county!$B17,ET.region!$A$51:$A$61,0),MATCH(ET.county!E$1,ET.region!$A$51:$M$51,0))</f>
        <v>3.2549999999999999</v>
      </c>
      <c r="F17" s="5">
        <f>INDEX(ET.region!$A$51:$M$61,MATCH(ET.county!$B17,ET.region!$A$51:$A$61,0),MATCH(ET.county!F$1,ET.region!$A$51:$M$51,0))</f>
        <v>4.59</v>
      </c>
      <c r="G17" s="5">
        <f>INDEX(ET.region!$A$51:$M$61,MATCH(ET.county!$B17,ET.region!$A$51:$A$61,0),MATCH(ET.county!G$1,ET.region!$A$51:$M$51,0))</f>
        <v>5.7969999999999997</v>
      </c>
      <c r="H17" s="5">
        <f>INDEX(ET.region!$A$51:$M$61,MATCH(ET.county!$B17,ET.region!$A$51:$A$61,0),MATCH(ET.county!H$1,ET.region!$A$51:$M$51,0))</f>
        <v>6.2399999999999993</v>
      </c>
      <c r="I17" s="5">
        <f>INDEX(ET.region!$A$51:$M$61,MATCH(ET.county!$B17,ET.region!$A$51:$A$61,0),MATCH(ET.county!I$1,ET.region!$A$51:$M$51,0))</f>
        <v>6.4790000000000001</v>
      </c>
      <c r="J17" s="5">
        <f>INDEX(ET.region!$A$51:$M$61,MATCH(ET.county!$B17,ET.region!$A$51:$A$61,0),MATCH(ET.county!J$1,ET.region!$A$51:$M$51,0))</f>
        <v>5.7350000000000003</v>
      </c>
      <c r="K17" s="5">
        <f>INDEX(ET.region!$A$51:$M$61,MATCH(ET.county!$B17,ET.region!$A$51:$A$61,0),MATCH(ET.county!K$1,ET.region!$A$51:$M$51,0))</f>
        <v>4.38</v>
      </c>
      <c r="L17" s="5">
        <f>INDEX(ET.region!$A$51:$M$61,MATCH(ET.county!$B17,ET.region!$A$51:$A$61,0),MATCH(ET.county!L$1,ET.region!$A$51:$M$51,0))</f>
        <v>3.2549999999999999</v>
      </c>
      <c r="M17" s="5">
        <f>INDEX(ET.region!$A$51:$M$61,MATCH(ET.county!$B17,ET.region!$A$51:$A$61,0),MATCH(ET.county!M$1,ET.region!$A$51:$M$51,0))</f>
        <v>2.0700000000000003</v>
      </c>
      <c r="N17" s="5">
        <f>INDEX(ET.region!$A$51:$M$61,MATCH(ET.county!$B17,ET.region!$A$51:$A$61,0),MATCH(ET.county!N$1,ET.region!$A$51:$M$51,0))</f>
        <v>1.55</v>
      </c>
    </row>
    <row r="18" spans="1:14" x14ac:dyDescent="0.3">
      <c r="A18" t="s">
        <v>383</v>
      </c>
      <c r="B18" t="s">
        <v>391</v>
      </c>
      <c r="C18" s="5">
        <f>INDEX(ET.region!$A$51:$M$61,MATCH(ET.county!$B18,ET.region!$A$51:$A$61,0),MATCH(ET.county!C$1,ET.region!$A$51:$M$51,0))</f>
        <v>1.3425196850393704</v>
      </c>
      <c r="D18" s="5">
        <f>INDEX(ET.region!$A$51:$M$61,MATCH(ET.county!$B18,ET.region!$A$51:$A$61,0),MATCH(ET.county!D$1,ET.region!$A$51:$M$51,0))</f>
        <v>1.7637795275590555</v>
      </c>
      <c r="E18" s="5">
        <f>INDEX(ET.region!$A$51:$M$61,MATCH(ET.county!$B18,ET.region!$A$51:$A$61,0),MATCH(ET.county!E$1,ET.region!$A$51:$M$51,0))</f>
        <v>3.0877952755905511</v>
      </c>
      <c r="F18" s="5">
        <f>INDEX(ET.region!$A$51:$M$61,MATCH(ET.county!$B18,ET.region!$A$51:$A$61,0),MATCH(ET.county!F$1,ET.region!$A$51:$M$51,0))</f>
        <v>4.4763779527559056</v>
      </c>
      <c r="G18" s="5">
        <f>INDEX(ET.region!$A$51:$M$61,MATCH(ET.county!$B18,ET.region!$A$51:$A$61,0),MATCH(ET.county!G$1,ET.region!$A$51:$M$51,0))</f>
        <v>5.8216535433070868</v>
      </c>
      <c r="H18" s="5">
        <f>INDEX(ET.region!$A$51:$M$61,MATCH(ET.county!$B18,ET.region!$A$51:$A$61,0),MATCH(ET.county!H$1,ET.region!$A$51:$M$51,0))</f>
        <v>6.4842519685039379</v>
      </c>
      <c r="I18" s="5">
        <f>INDEX(ET.region!$A$51:$M$61,MATCH(ET.county!$B18,ET.region!$A$51:$A$61,0),MATCH(ET.county!I$1,ET.region!$A$51:$M$51,0))</f>
        <v>6.8346456692913389</v>
      </c>
      <c r="J18" s="5">
        <f>INDEX(ET.region!$A$51:$M$61,MATCH(ET.county!$B18,ET.region!$A$51:$A$61,0),MATCH(ET.county!J$1,ET.region!$A$51:$M$51,0))</f>
        <v>6.1267716535433072</v>
      </c>
      <c r="K18" s="5">
        <f>INDEX(ET.region!$A$51:$M$61,MATCH(ET.county!$B18,ET.region!$A$51:$A$61,0),MATCH(ET.county!K$1,ET.region!$A$51:$M$51,0))</f>
        <v>4.5826771653543314</v>
      </c>
      <c r="L18" s="5">
        <f>INDEX(ET.region!$A$51:$M$61,MATCH(ET.county!$B18,ET.region!$A$51:$A$61,0),MATCH(ET.county!L$1,ET.region!$A$51:$M$51,0))</f>
        <v>3.246456692913386</v>
      </c>
      <c r="M18" s="5">
        <f>INDEX(ET.region!$A$51:$M$61,MATCH(ET.county!$B18,ET.region!$A$51:$A$61,0),MATCH(ET.county!M$1,ET.region!$A$51:$M$51,0))</f>
        <v>1.9488188976377951</v>
      </c>
      <c r="N18" s="5">
        <f>INDEX(ET.region!$A$51:$M$61,MATCH(ET.county!$B18,ET.region!$A$51:$A$61,0),MATCH(ET.county!N$1,ET.region!$A$51:$M$51,0))</f>
        <v>1.3181102362204726</v>
      </c>
    </row>
    <row r="19" spans="1:14" x14ac:dyDescent="0.3">
      <c r="A19" t="s">
        <v>65</v>
      </c>
      <c r="B19" t="s">
        <v>392</v>
      </c>
      <c r="C19" s="5">
        <f>INDEX(ET.region!$A$51:$M$61,MATCH(ET.county!$B19,ET.region!$A$51:$A$61,0),MATCH(ET.county!C$1,ET.region!$A$51:$M$51,0))</f>
        <v>1.4889763779527558</v>
      </c>
      <c r="D19" s="5">
        <f>INDEX(ET.region!$A$51:$M$61,MATCH(ET.county!$B19,ET.region!$A$51:$A$61,0),MATCH(ET.county!D$1,ET.region!$A$51:$M$51,0))</f>
        <v>1.9401574803149606</v>
      </c>
      <c r="E19" s="5">
        <f>INDEX(ET.region!$A$51:$M$61,MATCH(ET.county!$B19,ET.region!$A$51:$A$61,0),MATCH(ET.county!E$1,ET.region!$A$51:$M$51,0))</f>
        <v>3.2952755905511819</v>
      </c>
      <c r="F19" s="5">
        <f>INDEX(ET.region!$A$51:$M$61,MATCH(ET.county!$B19,ET.region!$A$51:$A$61,0),MATCH(ET.county!F$1,ET.region!$A$51:$M$51,0))</f>
        <v>4.7007874015748037</v>
      </c>
      <c r="G19" s="5">
        <f>INDEX(ET.region!$A$51:$M$61,MATCH(ET.county!$B19,ET.region!$A$51:$A$61,0),MATCH(ET.county!G$1,ET.region!$A$51:$M$51,0))</f>
        <v>6.0169291338582678</v>
      </c>
      <c r="H19" s="5">
        <f>INDEX(ET.region!$A$51:$M$61,MATCH(ET.county!$B19,ET.region!$A$51:$A$61,0),MATCH(ET.county!H$1,ET.region!$A$51:$M$51,0))</f>
        <v>6.6496062992125982</v>
      </c>
      <c r="I19" s="5">
        <f>INDEX(ET.region!$A$51:$M$61,MATCH(ET.county!$B19,ET.region!$A$51:$A$61,0),MATCH(ET.county!I$1,ET.region!$A$51:$M$51,0))</f>
        <v>6.9322834645669289</v>
      </c>
      <c r="J19" s="5">
        <f>INDEX(ET.region!$A$51:$M$61,MATCH(ET.county!$B19,ET.region!$A$51:$A$61,0),MATCH(ET.county!J$1,ET.region!$A$51:$M$51,0))</f>
        <v>6.1755905511811022</v>
      </c>
      <c r="K19" s="5">
        <f>INDEX(ET.region!$A$51:$M$61,MATCH(ET.county!$B19,ET.region!$A$51:$A$61,0),MATCH(ET.county!K$1,ET.region!$A$51:$M$51,0))</f>
        <v>4.7125984251968509</v>
      </c>
      <c r="L19" s="5">
        <f>INDEX(ET.region!$A$51:$M$61,MATCH(ET.county!$B19,ET.region!$A$51:$A$61,0),MATCH(ET.county!L$1,ET.region!$A$51:$M$51,0))</f>
        <v>3.4173228346456694</v>
      </c>
      <c r="M19" s="5">
        <f>INDEX(ET.region!$A$51:$M$61,MATCH(ET.county!$B19,ET.region!$A$51:$A$61,0),MATCH(ET.county!M$1,ET.region!$A$51:$M$51,0))</f>
        <v>2.1141732283464569</v>
      </c>
      <c r="N19" s="5">
        <f>INDEX(ET.region!$A$51:$M$61,MATCH(ET.county!$B19,ET.region!$A$51:$A$61,0),MATCH(ET.county!N$1,ET.region!$A$51:$M$51,0))</f>
        <v>1.4523622047244096</v>
      </c>
    </row>
    <row r="20" spans="1:14" x14ac:dyDescent="0.3">
      <c r="A20" t="s">
        <v>370</v>
      </c>
      <c r="B20" t="s">
        <v>389</v>
      </c>
      <c r="C20" s="5">
        <f>INDEX(ET.region!$A$51:$M$61,MATCH(ET.county!$B20,ET.region!$A$51:$A$61,0),MATCH(ET.county!C$1,ET.region!$A$51:$M$51,0))</f>
        <v>1.562204724409449</v>
      </c>
      <c r="D20" s="5">
        <f>INDEX(ET.region!$A$51:$M$61,MATCH(ET.county!$B20,ET.region!$A$51:$A$61,0),MATCH(ET.county!D$1,ET.region!$A$51:$M$51,0))</f>
        <v>2.0503937007874016</v>
      </c>
      <c r="E20" s="5">
        <f>INDEX(ET.region!$A$51:$M$61,MATCH(ET.county!$B20,ET.region!$A$51:$A$61,0),MATCH(ET.county!E$1,ET.region!$A$51:$M$51,0))</f>
        <v>3.5027559055118114</v>
      </c>
      <c r="F20" s="5">
        <f>INDEX(ET.region!$A$51:$M$61,MATCH(ET.county!$B20,ET.region!$A$51:$A$61,0),MATCH(ET.county!F$1,ET.region!$A$51:$M$51,0))</f>
        <v>4.9370078740157481</v>
      </c>
      <c r="G20" s="5">
        <f>INDEX(ET.region!$A$51:$M$61,MATCH(ET.county!$B20,ET.region!$A$51:$A$61,0),MATCH(ET.county!G$1,ET.region!$A$51:$M$51,0))</f>
        <v>6.2122047244094487</v>
      </c>
      <c r="H20" s="5">
        <f>INDEX(ET.region!$A$51:$M$61,MATCH(ET.county!$B20,ET.region!$A$51:$A$61,0),MATCH(ET.county!H$1,ET.region!$A$51:$M$51,0))</f>
        <v>6.6968503937007879</v>
      </c>
      <c r="I20" s="5">
        <f>INDEX(ET.region!$A$51:$M$61,MATCH(ET.county!$B20,ET.region!$A$51:$A$61,0),MATCH(ET.county!I$1,ET.region!$A$51:$M$51,0))</f>
        <v>6.9444881889763792</v>
      </c>
      <c r="J20" s="5">
        <f>INDEX(ET.region!$A$51:$M$61,MATCH(ET.county!$B20,ET.region!$A$51:$A$61,0),MATCH(ET.county!J$1,ET.region!$A$51:$M$51,0))</f>
        <v>6.2122047244094487</v>
      </c>
      <c r="K20" s="5">
        <f>INDEX(ET.region!$A$51:$M$61,MATCH(ET.county!$B20,ET.region!$A$51:$A$61,0),MATCH(ET.county!K$1,ET.region!$A$51:$M$51,0))</f>
        <v>4.7598425196850407</v>
      </c>
      <c r="L20" s="5">
        <f>INDEX(ET.region!$A$51:$M$61,MATCH(ET.county!$B20,ET.region!$A$51:$A$61,0),MATCH(ET.county!L$1,ET.region!$A$51:$M$51,0))</f>
        <v>3.4417322834645669</v>
      </c>
      <c r="M20" s="5">
        <f>INDEX(ET.region!$A$51:$M$61,MATCH(ET.county!$B20,ET.region!$A$51:$A$61,0),MATCH(ET.county!M$1,ET.region!$A$51:$M$51,0))</f>
        <v>2.1496062992125986</v>
      </c>
      <c r="N20" s="5">
        <f>INDEX(ET.region!$A$51:$M$61,MATCH(ET.county!$B20,ET.region!$A$51:$A$61,0),MATCH(ET.county!N$1,ET.region!$A$51:$M$51,0))</f>
        <v>1.5133858267716536</v>
      </c>
    </row>
    <row r="21" spans="1:14" x14ac:dyDescent="0.3">
      <c r="A21" t="s">
        <v>358</v>
      </c>
      <c r="B21" t="s">
        <v>394</v>
      </c>
      <c r="C21" s="5">
        <f>INDEX(ET.region!$A$51:$M$61,MATCH(ET.county!$B21,ET.region!$A$51:$A$61,0),MATCH(ET.county!C$1,ET.region!$A$51:$M$51,0))</f>
        <v>1.3913385826771654</v>
      </c>
      <c r="D21" s="5">
        <f>INDEX(ET.region!$A$51:$M$61,MATCH(ET.county!$B21,ET.region!$A$51:$A$61,0),MATCH(ET.county!D$1,ET.region!$A$51:$M$51,0))</f>
        <v>1.7748031496062995</v>
      </c>
      <c r="E21" s="5">
        <f>INDEX(ET.region!$A$51:$M$61,MATCH(ET.county!$B21,ET.region!$A$51:$A$61,0),MATCH(ET.county!E$1,ET.region!$A$51:$M$51,0))</f>
        <v>3.0633858267716536</v>
      </c>
      <c r="F21" s="5">
        <f>INDEX(ET.region!$A$51:$M$61,MATCH(ET.county!$B21,ET.region!$A$51:$A$61,0),MATCH(ET.county!F$1,ET.region!$A$51:$M$51,0))</f>
        <v>4.4173228346456694</v>
      </c>
      <c r="G21" s="5">
        <f>INDEX(ET.region!$A$51:$M$61,MATCH(ET.county!$B21,ET.region!$A$51:$A$61,0),MATCH(ET.county!G$1,ET.region!$A$51:$M$51,0))</f>
        <v>5.7362204724409454</v>
      </c>
      <c r="H21" s="5">
        <f>INDEX(ET.region!$A$51:$M$61,MATCH(ET.county!$B21,ET.region!$A$51:$A$61,0),MATCH(ET.county!H$1,ET.region!$A$51:$M$51,0))</f>
        <v>6.3070866141732287</v>
      </c>
      <c r="I21" s="5">
        <f>INDEX(ET.region!$A$51:$M$61,MATCH(ET.county!$B21,ET.region!$A$51:$A$61,0),MATCH(ET.county!I$1,ET.region!$A$51:$M$51,0))</f>
        <v>6.5417322834645679</v>
      </c>
      <c r="J21" s="5">
        <f>INDEX(ET.region!$A$51:$M$61,MATCH(ET.county!$B21,ET.region!$A$51:$A$61,0),MATCH(ET.county!J$1,ET.region!$A$51:$M$51,0))</f>
        <v>5.9314960629921272</v>
      </c>
      <c r="K21" s="5">
        <f>INDEX(ET.region!$A$51:$M$61,MATCH(ET.county!$B21,ET.region!$A$51:$A$61,0),MATCH(ET.county!K$1,ET.region!$A$51:$M$51,0))</f>
        <v>4.5118110236220472</v>
      </c>
      <c r="L21" s="5">
        <f>INDEX(ET.region!$A$51:$M$61,MATCH(ET.county!$B21,ET.region!$A$51:$A$61,0),MATCH(ET.county!L$1,ET.region!$A$51:$M$51,0))</f>
        <v>3.270866141732284</v>
      </c>
      <c r="M21" s="5">
        <f>INDEX(ET.region!$A$51:$M$61,MATCH(ET.county!$B21,ET.region!$A$51:$A$61,0),MATCH(ET.county!M$1,ET.region!$A$51:$M$51,0))</f>
        <v>1.9724409448818898</v>
      </c>
      <c r="N21" s="5">
        <f>INDEX(ET.region!$A$51:$M$61,MATCH(ET.county!$B21,ET.region!$A$51:$A$61,0),MATCH(ET.county!N$1,ET.region!$A$51:$M$51,0))</f>
        <v>1.3547244094488189</v>
      </c>
    </row>
    <row r="22" spans="1:14" x14ac:dyDescent="0.3">
      <c r="A22" t="s">
        <v>331</v>
      </c>
      <c r="B22" t="s">
        <v>395</v>
      </c>
      <c r="C22" s="5">
        <f>INDEX(ET.region!$A$51:$M$61,MATCH(ET.county!$B22,ET.region!$A$51:$A$61,0),MATCH(ET.county!C$1,ET.region!$A$51:$M$51,0))</f>
        <v>1.5255905511811025</v>
      </c>
      <c r="D22" s="5">
        <f>INDEX(ET.region!$A$51:$M$61,MATCH(ET.county!$B22,ET.region!$A$51:$A$61,0),MATCH(ET.county!D$1,ET.region!$A$51:$M$51,0))</f>
        <v>2.0173228346456695</v>
      </c>
      <c r="E22" s="5">
        <f>INDEX(ET.region!$A$51:$M$61,MATCH(ET.county!$B22,ET.region!$A$51:$A$61,0),MATCH(ET.county!E$1,ET.region!$A$51:$M$51,0))</f>
        <v>3.4905511811023624</v>
      </c>
      <c r="F22" s="5">
        <f>INDEX(ET.region!$A$51:$M$61,MATCH(ET.county!$B22,ET.region!$A$51:$A$61,0),MATCH(ET.county!F$1,ET.region!$A$51:$M$51,0))</f>
        <v>5.0551181102362204</v>
      </c>
      <c r="G22" s="5">
        <f>INDEX(ET.region!$A$51:$M$61,MATCH(ET.county!$B22,ET.region!$A$51:$A$61,0),MATCH(ET.county!G$1,ET.region!$A$51:$M$51,0))</f>
        <v>6.4318897637795267</v>
      </c>
      <c r="H22" s="5">
        <f>INDEX(ET.region!$A$51:$M$61,MATCH(ET.county!$B22,ET.region!$A$51:$A$61,0),MATCH(ET.county!H$1,ET.region!$A$51:$M$51,0))</f>
        <v>7.0748031496063</v>
      </c>
      <c r="I22" s="5">
        <f>INDEX(ET.region!$A$51:$M$61,MATCH(ET.county!$B22,ET.region!$A$51:$A$61,0),MATCH(ET.county!I$1,ET.region!$A$51:$M$51,0))</f>
        <v>7.359448818897639</v>
      </c>
      <c r="J22" s="5">
        <f>INDEX(ET.region!$A$51:$M$61,MATCH(ET.county!$B22,ET.region!$A$51:$A$61,0),MATCH(ET.county!J$1,ET.region!$A$51:$M$51,0))</f>
        <v>6.566141732283465</v>
      </c>
      <c r="K22" s="5">
        <f>INDEX(ET.region!$A$51:$M$61,MATCH(ET.county!$B22,ET.region!$A$51:$A$61,0),MATCH(ET.county!K$1,ET.region!$A$51:$M$51,0))</f>
        <v>4.9488188976377963</v>
      </c>
      <c r="L22" s="5">
        <f>INDEX(ET.region!$A$51:$M$61,MATCH(ET.county!$B22,ET.region!$A$51:$A$61,0),MATCH(ET.county!L$1,ET.region!$A$51:$M$51,0))</f>
        <v>3.5759842519685043</v>
      </c>
      <c r="M22" s="5">
        <f>INDEX(ET.region!$A$51:$M$61,MATCH(ET.county!$B22,ET.region!$A$51:$A$61,0),MATCH(ET.county!M$1,ET.region!$A$51:$M$51,0))</f>
        <v>2.1968503937007875</v>
      </c>
      <c r="N22" s="5">
        <f>INDEX(ET.region!$A$51:$M$61,MATCH(ET.county!$B22,ET.region!$A$51:$A$61,0),MATCH(ET.county!N$1,ET.region!$A$51:$M$51,0))</f>
        <v>1.5255905511811025</v>
      </c>
    </row>
    <row r="23" spans="1:14" x14ac:dyDescent="0.3">
      <c r="A23" t="s">
        <v>342</v>
      </c>
      <c r="B23" t="s">
        <v>394</v>
      </c>
      <c r="C23" s="5">
        <f>INDEX(ET.region!$A$51:$M$61,MATCH(ET.county!$B23,ET.region!$A$51:$A$61,0),MATCH(ET.county!C$1,ET.region!$A$51:$M$51,0))</f>
        <v>1.3913385826771654</v>
      </c>
      <c r="D23" s="5">
        <f>INDEX(ET.region!$A$51:$M$61,MATCH(ET.county!$B23,ET.region!$A$51:$A$61,0),MATCH(ET.county!D$1,ET.region!$A$51:$M$51,0))</f>
        <v>1.7748031496062995</v>
      </c>
      <c r="E23" s="5">
        <f>INDEX(ET.region!$A$51:$M$61,MATCH(ET.county!$B23,ET.region!$A$51:$A$61,0),MATCH(ET.county!E$1,ET.region!$A$51:$M$51,0))</f>
        <v>3.0633858267716536</v>
      </c>
      <c r="F23" s="5">
        <f>INDEX(ET.region!$A$51:$M$61,MATCH(ET.county!$B23,ET.region!$A$51:$A$61,0),MATCH(ET.county!F$1,ET.region!$A$51:$M$51,0))</f>
        <v>4.4173228346456694</v>
      </c>
      <c r="G23" s="5">
        <f>INDEX(ET.region!$A$51:$M$61,MATCH(ET.county!$B23,ET.region!$A$51:$A$61,0),MATCH(ET.county!G$1,ET.region!$A$51:$M$51,0))</f>
        <v>5.7362204724409454</v>
      </c>
      <c r="H23" s="5">
        <f>INDEX(ET.region!$A$51:$M$61,MATCH(ET.county!$B23,ET.region!$A$51:$A$61,0),MATCH(ET.county!H$1,ET.region!$A$51:$M$51,0))</f>
        <v>6.3070866141732287</v>
      </c>
      <c r="I23" s="5">
        <f>INDEX(ET.region!$A$51:$M$61,MATCH(ET.county!$B23,ET.region!$A$51:$A$61,0),MATCH(ET.county!I$1,ET.region!$A$51:$M$51,0))</f>
        <v>6.5417322834645679</v>
      </c>
      <c r="J23" s="5">
        <f>INDEX(ET.region!$A$51:$M$61,MATCH(ET.county!$B23,ET.region!$A$51:$A$61,0),MATCH(ET.county!J$1,ET.region!$A$51:$M$51,0))</f>
        <v>5.9314960629921272</v>
      </c>
      <c r="K23" s="5">
        <f>INDEX(ET.region!$A$51:$M$61,MATCH(ET.county!$B23,ET.region!$A$51:$A$61,0),MATCH(ET.county!K$1,ET.region!$A$51:$M$51,0))</f>
        <v>4.5118110236220472</v>
      </c>
      <c r="L23" s="5">
        <f>INDEX(ET.region!$A$51:$M$61,MATCH(ET.county!$B23,ET.region!$A$51:$A$61,0),MATCH(ET.county!L$1,ET.region!$A$51:$M$51,0))</f>
        <v>3.270866141732284</v>
      </c>
      <c r="M23" s="5">
        <f>INDEX(ET.region!$A$51:$M$61,MATCH(ET.county!$B23,ET.region!$A$51:$A$61,0),MATCH(ET.county!M$1,ET.region!$A$51:$M$51,0))</f>
        <v>1.9724409448818898</v>
      </c>
      <c r="N23" s="5">
        <f>INDEX(ET.region!$A$51:$M$61,MATCH(ET.county!$B23,ET.region!$A$51:$A$61,0),MATCH(ET.county!N$1,ET.region!$A$51:$M$51,0))</f>
        <v>1.3547244094488189</v>
      </c>
    </row>
    <row r="24" spans="1:14" x14ac:dyDescent="0.3">
      <c r="A24" t="s">
        <v>318</v>
      </c>
      <c r="B24" t="s">
        <v>393</v>
      </c>
      <c r="C24" s="5">
        <f>INDEX(ET.region!$A$51:$M$61,MATCH(ET.county!$B24,ET.region!$A$51:$A$61,0),MATCH(ET.county!C$1,ET.region!$A$51:$M$51,0))</f>
        <v>1.4523622047244096</v>
      </c>
      <c r="D24" s="5">
        <f>INDEX(ET.region!$A$51:$M$61,MATCH(ET.county!$B24,ET.region!$A$51:$A$61,0),MATCH(ET.county!D$1,ET.region!$A$51:$M$51,0))</f>
        <v>1.8850393700787402</v>
      </c>
      <c r="E24" s="5">
        <f>INDEX(ET.region!$A$51:$M$61,MATCH(ET.county!$B24,ET.region!$A$51:$A$61,0),MATCH(ET.county!E$1,ET.region!$A$51:$M$51,0))</f>
        <v>3.1610236220472441</v>
      </c>
      <c r="F24" s="5">
        <f>INDEX(ET.region!$A$51:$M$61,MATCH(ET.county!$B24,ET.region!$A$51:$A$61,0),MATCH(ET.county!F$1,ET.region!$A$51:$M$51,0))</f>
        <v>4.346456692913387</v>
      </c>
      <c r="G24" s="5">
        <f>INDEX(ET.region!$A$51:$M$61,MATCH(ET.county!$B24,ET.region!$A$51:$A$61,0),MATCH(ET.county!G$1,ET.region!$A$51:$M$51,0))</f>
        <v>5.333464566929135</v>
      </c>
      <c r="H24" s="5">
        <f>INDEX(ET.region!$A$51:$M$61,MATCH(ET.county!$B24,ET.region!$A$51:$A$61,0),MATCH(ET.county!H$1,ET.region!$A$51:$M$51,0))</f>
        <v>5.5748031496062991</v>
      </c>
      <c r="I24" s="5">
        <f>INDEX(ET.region!$A$51:$M$61,MATCH(ET.county!$B24,ET.region!$A$51:$A$61,0),MATCH(ET.county!I$1,ET.region!$A$51:$M$51,0))</f>
        <v>5.6751968503937018</v>
      </c>
      <c r="J24" s="5">
        <f>INDEX(ET.region!$A$51:$M$61,MATCH(ET.county!$B24,ET.region!$A$51:$A$61,0),MATCH(ET.county!J$1,ET.region!$A$51:$M$51,0))</f>
        <v>5.0893700787401581</v>
      </c>
      <c r="K24" s="5">
        <f>INDEX(ET.region!$A$51:$M$61,MATCH(ET.county!$B24,ET.region!$A$51:$A$61,0),MATCH(ET.county!K$1,ET.region!$A$51:$M$51,0))</f>
        <v>4.015748031496063</v>
      </c>
      <c r="L24" s="5">
        <f>INDEX(ET.region!$A$51:$M$61,MATCH(ET.county!$B24,ET.region!$A$51:$A$61,0),MATCH(ET.county!L$1,ET.region!$A$51:$M$51,0))</f>
        <v>3.0633858267716536</v>
      </c>
      <c r="M24" s="5">
        <f>INDEX(ET.region!$A$51:$M$61,MATCH(ET.county!$B24,ET.region!$A$51:$A$61,0),MATCH(ET.county!M$1,ET.region!$A$51:$M$51,0))</f>
        <v>1.9606299212598426</v>
      </c>
      <c r="N24" s="5">
        <f>INDEX(ET.region!$A$51:$M$61,MATCH(ET.county!$B24,ET.region!$A$51:$A$61,0),MATCH(ET.county!N$1,ET.region!$A$51:$M$51,0))</f>
        <v>1.3913385826771654</v>
      </c>
    </row>
    <row r="25" spans="1:14" x14ac:dyDescent="0.3">
      <c r="A25" t="s">
        <v>379</v>
      </c>
      <c r="B25" t="s">
        <v>388</v>
      </c>
      <c r="C25" s="5">
        <f>INDEX(ET.region!$A$51:$M$61,MATCH(ET.county!$B25,ET.region!$A$51:$A$61,0),MATCH(ET.county!C$1,ET.region!$A$51:$M$51,0))</f>
        <v>1.6964566929133857</v>
      </c>
      <c r="D25" s="5">
        <f>INDEX(ET.region!$A$51:$M$61,MATCH(ET.county!$B25,ET.region!$A$51:$A$61,0),MATCH(ET.county!D$1,ET.region!$A$51:$M$51,0))</f>
        <v>2.1496062992125986</v>
      </c>
      <c r="E25" s="5">
        <f>INDEX(ET.region!$A$51:$M$61,MATCH(ET.county!$B25,ET.region!$A$51:$A$61,0),MATCH(ET.county!E$1,ET.region!$A$51:$M$51,0))</f>
        <v>3.6248031496062993</v>
      </c>
      <c r="F25" s="5">
        <f>INDEX(ET.region!$A$51:$M$61,MATCH(ET.county!$B25,ET.region!$A$51:$A$61,0),MATCH(ET.county!F$1,ET.region!$A$51:$M$51,0))</f>
        <v>4.9724409448818898</v>
      </c>
      <c r="G25" s="5">
        <f>INDEX(ET.region!$A$51:$M$61,MATCH(ET.county!$B25,ET.region!$A$51:$A$61,0),MATCH(ET.county!G$1,ET.region!$A$51:$M$51,0))</f>
        <v>6.2976377952755911</v>
      </c>
      <c r="H25" s="5">
        <f>INDEX(ET.region!$A$51:$M$61,MATCH(ET.county!$B25,ET.region!$A$51:$A$61,0),MATCH(ET.county!H$1,ET.region!$A$51:$M$51,0))</f>
        <v>6.6141732283464565</v>
      </c>
      <c r="I25" s="5">
        <f>INDEX(ET.region!$A$51:$M$61,MATCH(ET.county!$B25,ET.region!$A$51:$A$61,0),MATCH(ET.county!I$1,ET.region!$A$51:$M$51,0))</f>
        <v>6.8590551181102368</v>
      </c>
      <c r="J25" s="5">
        <f>INDEX(ET.region!$A$51:$M$61,MATCH(ET.county!$B25,ET.region!$A$51:$A$61,0),MATCH(ET.county!J$1,ET.region!$A$51:$M$51,0))</f>
        <v>6.1755905511811022</v>
      </c>
      <c r="K25" s="5">
        <f>INDEX(ET.region!$A$51:$M$61,MATCH(ET.county!$B25,ET.region!$A$51:$A$61,0),MATCH(ET.county!K$1,ET.region!$A$51:$M$51,0))</f>
        <v>4.8661417322834648</v>
      </c>
      <c r="L25" s="5">
        <f>INDEX(ET.region!$A$51:$M$61,MATCH(ET.county!$B25,ET.region!$A$51:$A$61,0),MATCH(ET.county!L$1,ET.region!$A$51:$M$51,0))</f>
        <v>3.6370078740157483</v>
      </c>
      <c r="M25" s="5">
        <f>INDEX(ET.region!$A$51:$M$61,MATCH(ET.county!$B25,ET.region!$A$51:$A$61,0),MATCH(ET.county!M$1,ET.region!$A$51:$M$51,0))</f>
        <v>2.3622047244094486</v>
      </c>
      <c r="N25" s="5">
        <f>INDEX(ET.region!$A$51:$M$61,MATCH(ET.county!$B25,ET.region!$A$51:$A$61,0),MATCH(ET.county!N$1,ET.region!$A$51:$M$51,0))</f>
        <v>1.684251968503937</v>
      </c>
    </row>
    <row r="26" spans="1:14" x14ac:dyDescent="0.3">
      <c r="A26" t="s">
        <v>359</v>
      </c>
      <c r="B26" t="s">
        <v>386</v>
      </c>
      <c r="C26" s="5">
        <f>INDEX(ET.region!$A$51:$M$61,MATCH(ET.county!$B26,ET.region!$A$51:$A$61,0),MATCH(ET.county!C$1,ET.region!$A$51:$M$51,0))</f>
        <v>1.581</v>
      </c>
      <c r="D26" s="5">
        <f>INDEX(ET.region!$A$51:$M$61,MATCH(ET.county!$B26,ET.region!$A$51:$A$61,0),MATCH(ET.county!D$1,ET.region!$A$51:$M$51,0))</f>
        <v>1.9600000000000002</v>
      </c>
      <c r="E26" s="5">
        <f>INDEX(ET.region!$A$51:$M$61,MATCH(ET.county!$B26,ET.region!$A$51:$A$61,0),MATCH(ET.county!E$1,ET.region!$A$51:$M$51,0))</f>
        <v>3.2549999999999999</v>
      </c>
      <c r="F26" s="5">
        <f>INDEX(ET.region!$A$51:$M$61,MATCH(ET.county!$B26,ET.region!$A$51:$A$61,0),MATCH(ET.county!F$1,ET.region!$A$51:$M$51,0))</f>
        <v>4.59</v>
      </c>
      <c r="G26" s="5">
        <f>INDEX(ET.region!$A$51:$M$61,MATCH(ET.county!$B26,ET.region!$A$51:$A$61,0),MATCH(ET.county!G$1,ET.region!$A$51:$M$51,0))</f>
        <v>5.7969999999999997</v>
      </c>
      <c r="H26" s="5">
        <f>INDEX(ET.region!$A$51:$M$61,MATCH(ET.county!$B26,ET.region!$A$51:$A$61,0),MATCH(ET.county!H$1,ET.region!$A$51:$M$51,0))</f>
        <v>6.2399999999999993</v>
      </c>
      <c r="I26" s="5">
        <f>INDEX(ET.region!$A$51:$M$61,MATCH(ET.county!$B26,ET.region!$A$51:$A$61,0),MATCH(ET.county!I$1,ET.region!$A$51:$M$51,0))</f>
        <v>6.4790000000000001</v>
      </c>
      <c r="J26" s="5">
        <f>INDEX(ET.region!$A$51:$M$61,MATCH(ET.county!$B26,ET.region!$A$51:$A$61,0),MATCH(ET.county!J$1,ET.region!$A$51:$M$51,0))</f>
        <v>5.7350000000000003</v>
      </c>
      <c r="K26" s="5">
        <f>INDEX(ET.region!$A$51:$M$61,MATCH(ET.county!$B26,ET.region!$A$51:$A$61,0),MATCH(ET.county!K$1,ET.region!$A$51:$M$51,0))</f>
        <v>4.38</v>
      </c>
      <c r="L26" s="5">
        <f>INDEX(ET.region!$A$51:$M$61,MATCH(ET.county!$B26,ET.region!$A$51:$A$61,0),MATCH(ET.county!L$1,ET.region!$A$51:$M$51,0))</f>
        <v>3.2549999999999999</v>
      </c>
      <c r="M26" s="5">
        <f>INDEX(ET.region!$A$51:$M$61,MATCH(ET.county!$B26,ET.region!$A$51:$A$61,0),MATCH(ET.county!M$1,ET.region!$A$51:$M$51,0))</f>
        <v>2.0700000000000003</v>
      </c>
      <c r="N26" s="5">
        <f>INDEX(ET.region!$A$51:$M$61,MATCH(ET.county!$B26,ET.region!$A$51:$A$61,0),MATCH(ET.county!N$1,ET.region!$A$51:$M$51,0))</f>
        <v>1.55</v>
      </c>
    </row>
    <row r="27" spans="1:14" x14ac:dyDescent="0.3">
      <c r="A27" t="s">
        <v>335</v>
      </c>
      <c r="B27" t="s">
        <v>388</v>
      </c>
      <c r="C27" s="5">
        <f>INDEX(ET.region!$A$51:$M$61,MATCH(ET.county!$B27,ET.region!$A$51:$A$61,0),MATCH(ET.county!C$1,ET.region!$A$51:$M$51,0))</f>
        <v>1.6964566929133857</v>
      </c>
      <c r="D27" s="5">
        <f>INDEX(ET.region!$A$51:$M$61,MATCH(ET.county!$B27,ET.region!$A$51:$A$61,0),MATCH(ET.county!D$1,ET.region!$A$51:$M$51,0))</f>
        <v>2.1496062992125986</v>
      </c>
      <c r="E27" s="5">
        <f>INDEX(ET.region!$A$51:$M$61,MATCH(ET.county!$B27,ET.region!$A$51:$A$61,0),MATCH(ET.county!E$1,ET.region!$A$51:$M$51,0))</f>
        <v>3.6248031496062993</v>
      </c>
      <c r="F27" s="5">
        <f>INDEX(ET.region!$A$51:$M$61,MATCH(ET.county!$B27,ET.region!$A$51:$A$61,0),MATCH(ET.county!F$1,ET.region!$A$51:$M$51,0))</f>
        <v>4.9724409448818898</v>
      </c>
      <c r="G27" s="5">
        <f>INDEX(ET.region!$A$51:$M$61,MATCH(ET.county!$B27,ET.region!$A$51:$A$61,0),MATCH(ET.county!G$1,ET.region!$A$51:$M$51,0))</f>
        <v>6.2976377952755911</v>
      </c>
      <c r="H27" s="5">
        <f>INDEX(ET.region!$A$51:$M$61,MATCH(ET.county!$B27,ET.region!$A$51:$A$61,0),MATCH(ET.county!H$1,ET.region!$A$51:$M$51,0))</f>
        <v>6.6141732283464565</v>
      </c>
      <c r="I27" s="5">
        <f>INDEX(ET.region!$A$51:$M$61,MATCH(ET.county!$B27,ET.region!$A$51:$A$61,0),MATCH(ET.county!I$1,ET.region!$A$51:$M$51,0))</f>
        <v>6.8590551181102368</v>
      </c>
      <c r="J27" s="5">
        <f>INDEX(ET.region!$A$51:$M$61,MATCH(ET.county!$B27,ET.region!$A$51:$A$61,0),MATCH(ET.county!J$1,ET.region!$A$51:$M$51,0))</f>
        <v>6.1755905511811022</v>
      </c>
      <c r="K27" s="5">
        <f>INDEX(ET.region!$A$51:$M$61,MATCH(ET.county!$B27,ET.region!$A$51:$A$61,0),MATCH(ET.county!K$1,ET.region!$A$51:$M$51,0))</f>
        <v>4.8661417322834648</v>
      </c>
      <c r="L27" s="5">
        <f>INDEX(ET.region!$A$51:$M$61,MATCH(ET.county!$B27,ET.region!$A$51:$A$61,0),MATCH(ET.county!L$1,ET.region!$A$51:$M$51,0))</f>
        <v>3.6370078740157483</v>
      </c>
      <c r="M27" s="5">
        <f>INDEX(ET.region!$A$51:$M$61,MATCH(ET.county!$B27,ET.region!$A$51:$A$61,0),MATCH(ET.county!M$1,ET.region!$A$51:$M$51,0))</f>
        <v>2.3622047244094486</v>
      </c>
      <c r="N27" s="5">
        <f>INDEX(ET.region!$A$51:$M$61,MATCH(ET.county!$B27,ET.region!$A$51:$A$61,0),MATCH(ET.county!N$1,ET.region!$A$51:$M$51,0))</f>
        <v>1.684251968503937</v>
      </c>
    </row>
    <row r="28" spans="1:14" x14ac:dyDescent="0.3">
      <c r="A28" t="s">
        <v>713</v>
      </c>
      <c r="B28" t="s">
        <v>395</v>
      </c>
      <c r="C28" s="5">
        <f>INDEX(ET.region!$A$51:$M$61,MATCH(ET.county!$B28,ET.region!$A$51:$A$61,0),MATCH(ET.county!C$1,ET.region!$A$51:$M$51,0))</f>
        <v>1.5255905511811025</v>
      </c>
      <c r="D28" s="5">
        <f>INDEX(ET.region!$A$51:$M$61,MATCH(ET.county!$B28,ET.region!$A$51:$A$61,0),MATCH(ET.county!D$1,ET.region!$A$51:$M$51,0))</f>
        <v>2.0173228346456695</v>
      </c>
      <c r="E28" s="5">
        <f>INDEX(ET.region!$A$51:$M$61,MATCH(ET.county!$B28,ET.region!$A$51:$A$61,0),MATCH(ET.county!E$1,ET.region!$A$51:$M$51,0))</f>
        <v>3.4905511811023624</v>
      </c>
      <c r="F28" s="5">
        <f>INDEX(ET.region!$A$51:$M$61,MATCH(ET.county!$B28,ET.region!$A$51:$A$61,0),MATCH(ET.county!F$1,ET.region!$A$51:$M$51,0))</f>
        <v>5.0551181102362204</v>
      </c>
      <c r="G28" s="5">
        <f>INDEX(ET.region!$A$51:$M$61,MATCH(ET.county!$B28,ET.region!$A$51:$A$61,0),MATCH(ET.county!G$1,ET.region!$A$51:$M$51,0))</f>
        <v>6.4318897637795267</v>
      </c>
      <c r="H28" s="5">
        <f>INDEX(ET.region!$A$51:$M$61,MATCH(ET.county!$B28,ET.region!$A$51:$A$61,0),MATCH(ET.county!H$1,ET.region!$A$51:$M$51,0))</f>
        <v>7.0748031496063</v>
      </c>
      <c r="I28" s="5">
        <f>INDEX(ET.region!$A$51:$M$61,MATCH(ET.county!$B28,ET.region!$A$51:$A$61,0),MATCH(ET.county!I$1,ET.region!$A$51:$M$51,0))</f>
        <v>7.359448818897639</v>
      </c>
      <c r="J28" s="5">
        <f>INDEX(ET.region!$A$51:$M$61,MATCH(ET.county!$B28,ET.region!$A$51:$A$61,0),MATCH(ET.county!J$1,ET.region!$A$51:$M$51,0))</f>
        <v>6.566141732283465</v>
      </c>
      <c r="K28" s="5">
        <f>INDEX(ET.region!$A$51:$M$61,MATCH(ET.county!$B28,ET.region!$A$51:$A$61,0),MATCH(ET.county!K$1,ET.region!$A$51:$M$51,0))</f>
        <v>4.9488188976377963</v>
      </c>
      <c r="L28" s="5">
        <f>INDEX(ET.region!$A$51:$M$61,MATCH(ET.county!$B28,ET.region!$A$51:$A$61,0),MATCH(ET.county!L$1,ET.region!$A$51:$M$51,0))</f>
        <v>3.5759842519685043</v>
      </c>
      <c r="M28" s="5">
        <f>INDEX(ET.region!$A$51:$M$61,MATCH(ET.county!$B28,ET.region!$A$51:$A$61,0),MATCH(ET.county!M$1,ET.region!$A$51:$M$51,0))</f>
        <v>2.1968503937007875</v>
      </c>
      <c r="N28" s="5">
        <f>INDEX(ET.region!$A$51:$M$61,MATCH(ET.county!$B28,ET.region!$A$51:$A$61,0),MATCH(ET.county!N$1,ET.region!$A$51:$M$51,0))</f>
        <v>1.5255905511811025</v>
      </c>
    </row>
    <row r="29" spans="1:14" x14ac:dyDescent="0.3">
      <c r="A29" t="s">
        <v>316</v>
      </c>
      <c r="B29" t="s">
        <v>386</v>
      </c>
      <c r="C29" s="5">
        <f>INDEX(ET.region!$A$51:$M$61,MATCH(ET.county!$B29,ET.region!$A$51:$A$61,0),MATCH(ET.county!C$1,ET.region!$A$51:$M$51,0))</f>
        <v>1.581</v>
      </c>
      <c r="D29" s="5">
        <f>INDEX(ET.region!$A$51:$M$61,MATCH(ET.county!$B29,ET.region!$A$51:$A$61,0),MATCH(ET.county!D$1,ET.region!$A$51:$M$51,0))</f>
        <v>1.9600000000000002</v>
      </c>
      <c r="E29" s="5">
        <f>INDEX(ET.region!$A$51:$M$61,MATCH(ET.county!$B29,ET.region!$A$51:$A$61,0),MATCH(ET.county!E$1,ET.region!$A$51:$M$51,0))</f>
        <v>3.2549999999999999</v>
      </c>
      <c r="F29" s="5">
        <f>INDEX(ET.region!$A$51:$M$61,MATCH(ET.county!$B29,ET.region!$A$51:$A$61,0),MATCH(ET.county!F$1,ET.region!$A$51:$M$51,0))</f>
        <v>4.59</v>
      </c>
      <c r="G29" s="5">
        <f>INDEX(ET.region!$A$51:$M$61,MATCH(ET.county!$B29,ET.region!$A$51:$A$61,0),MATCH(ET.county!G$1,ET.region!$A$51:$M$51,0))</f>
        <v>5.7969999999999997</v>
      </c>
      <c r="H29" s="5">
        <f>INDEX(ET.region!$A$51:$M$61,MATCH(ET.county!$B29,ET.region!$A$51:$A$61,0),MATCH(ET.county!H$1,ET.region!$A$51:$M$51,0))</f>
        <v>6.2399999999999993</v>
      </c>
      <c r="I29" s="5">
        <f>INDEX(ET.region!$A$51:$M$61,MATCH(ET.county!$B29,ET.region!$A$51:$A$61,0),MATCH(ET.county!I$1,ET.region!$A$51:$M$51,0))</f>
        <v>6.4790000000000001</v>
      </c>
      <c r="J29" s="5">
        <f>INDEX(ET.region!$A$51:$M$61,MATCH(ET.county!$B29,ET.region!$A$51:$A$61,0),MATCH(ET.county!J$1,ET.region!$A$51:$M$51,0))</f>
        <v>5.7350000000000003</v>
      </c>
      <c r="K29" s="5">
        <f>INDEX(ET.region!$A$51:$M$61,MATCH(ET.county!$B29,ET.region!$A$51:$A$61,0),MATCH(ET.county!K$1,ET.region!$A$51:$M$51,0))</f>
        <v>4.38</v>
      </c>
      <c r="L29" s="5">
        <f>INDEX(ET.region!$A$51:$M$61,MATCH(ET.county!$B29,ET.region!$A$51:$A$61,0),MATCH(ET.county!L$1,ET.region!$A$51:$M$51,0))</f>
        <v>3.2549999999999999</v>
      </c>
      <c r="M29" s="5">
        <f>INDEX(ET.region!$A$51:$M$61,MATCH(ET.county!$B29,ET.region!$A$51:$A$61,0),MATCH(ET.county!M$1,ET.region!$A$51:$M$51,0))</f>
        <v>2.0700000000000003</v>
      </c>
      <c r="N29" s="5">
        <f>INDEX(ET.region!$A$51:$M$61,MATCH(ET.county!$B29,ET.region!$A$51:$A$61,0),MATCH(ET.county!N$1,ET.region!$A$51:$M$51,0))</f>
        <v>1.55</v>
      </c>
    </row>
    <row r="30" spans="1:14" x14ac:dyDescent="0.3">
      <c r="A30" t="s">
        <v>351</v>
      </c>
      <c r="B30" t="s">
        <v>392</v>
      </c>
      <c r="C30" s="5">
        <f>INDEX(ET.region!$A$51:$M$61,MATCH(ET.county!$B30,ET.region!$A$51:$A$61,0),MATCH(ET.county!C$1,ET.region!$A$51:$M$51,0))</f>
        <v>1.4889763779527558</v>
      </c>
      <c r="D30" s="5">
        <f>INDEX(ET.region!$A$51:$M$61,MATCH(ET.county!$B30,ET.region!$A$51:$A$61,0),MATCH(ET.county!D$1,ET.region!$A$51:$M$51,0))</f>
        <v>1.9401574803149606</v>
      </c>
      <c r="E30" s="5">
        <f>INDEX(ET.region!$A$51:$M$61,MATCH(ET.county!$B30,ET.region!$A$51:$A$61,0),MATCH(ET.county!E$1,ET.region!$A$51:$M$51,0))</f>
        <v>3.2952755905511819</v>
      </c>
      <c r="F30" s="5">
        <f>INDEX(ET.region!$A$51:$M$61,MATCH(ET.county!$B30,ET.region!$A$51:$A$61,0),MATCH(ET.county!F$1,ET.region!$A$51:$M$51,0))</f>
        <v>4.7007874015748037</v>
      </c>
      <c r="G30" s="5">
        <f>INDEX(ET.region!$A$51:$M$61,MATCH(ET.county!$B30,ET.region!$A$51:$A$61,0),MATCH(ET.county!G$1,ET.region!$A$51:$M$51,0))</f>
        <v>6.0169291338582678</v>
      </c>
      <c r="H30" s="5">
        <f>INDEX(ET.region!$A$51:$M$61,MATCH(ET.county!$B30,ET.region!$A$51:$A$61,0),MATCH(ET.county!H$1,ET.region!$A$51:$M$51,0))</f>
        <v>6.6496062992125982</v>
      </c>
      <c r="I30" s="5">
        <f>INDEX(ET.region!$A$51:$M$61,MATCH(ET.county!$B30,ET.region!$A$51:$A$61,0),MATCH(ET.county!I$1,ET.region!$A$51:$M$51,0))</f>
        <v>6.9322834645669289</v>
      </c>
      <c r="J30" s="5">
        <f>INDEX(ET.region!$A$51:$M$61,MATCH(ET.county!$B30,ET.region!$A$51:$A$61,0),MATCH(ET.county!J$1,ET.region!$A$51:$M$51,0))</f>
        <v>6.1755905511811022</v>
      </c>
      <c r="K30" s="5">
        <f>INDEX(ET.region!$A$51:$M$61,MATCH(ET.county!$B30,ET.region!$A$51:$A$61,0),MATCH(ET.county!K$1,ET.region!$A$51:$M$51,0))</f>
        <v>4.7125984251968509</v>
      </c>
      <c r="L30" s="5">
        <f>INDEX(ET.region!$A$51:$M$61,MATCH(ET.county!$B30,ET.region!$A$51:$A$61,0),MATCH(ET.county!L$1,ET.region!$A$51:$M$51,0))</f>
        <v>3.4173228346456694</v>
      </c>
      <c r="M30" s="5">
        <f>INDEX(ET.region!$A$51:$M$61,MATCH(ET.county!$B30,ET.region!$A$51:$A$61,0),MATCH(ET.county!M$1,ET.region!$A$51:$M$51,0))</f>
        <v>2.1141732283464569</v>
      </c>
      <c r="N30" s="5">
        <f>INDEX(ET.region!$A$51:$M$61,MATCH(ET.county!$B30,ET.region!$A$51:$A$61,0),MATCH(ET.county!N$1,ET.region!$A$51:$M$51,0))</f>
        <v>1.4523622047244096</v>
      </c>
    </row>
    <row r="31" spans="1:14" x14ac:dyDescent="0.3">
      <c r="A31" t="s">
        <v>355</v>
      </c>
      <c r="B31" t="s">
        <v>392</v>
      </c>
      <c r="C31" s="5">
        <f>INDEX(ET.region!$A$51:$M$61,MATCH(ET.county!$B31,ET.region!$A$51:$A$61,0),MATCH(ET.county!C$1,ET.region!$A$51:$M$51,0))</f>
        <v>1.4889763779527558</v>
      </c>
      <c r="D31" s="5">
        <f>INDEX(ET.region!$A$51:$M$61,MATCH(ET.county!$B31,ET.region!$A$51:$A$61,0),MATCH(ET.county!D$1,ET.region!$A$51:$M$51,0))</f>
        <v>1.9401574803149606</v>
      </c>
      <c r="E31" s="5">
        <f>INDEX(ET.region!$A$51:$M$61,MATCH(ET.county!$B31,ET.region!$A$51:$A$61,0),MATCH(ET.county!E$1,ET.region!$A$51:$M$51,0))</f>
        <v>3.2952755905511819</v>
      </c>
      <c r="F31" s="5">
        <f>INDEX(ET.region!$A$51:$M$61,MATCH(ET.county!$B31,ET.region!$A$51:$A$61,0),MATCH(ET.county!F$1,ET.region!$A$51:$M$51,0))</f>
        <v>4.7007874015748037</v>
      </c>
      <c r="G31" s="5">
        <f>INDEX(ET.region!$A$51:$M$61,MATCH(ET.county!$B31,ET.region!$A$51:$A$61,0),MATCH(ET.county!G$1,ET.region!$A$51:$M$51,0))</f>
        <v>6.0169291338582678</v>
      </c>
      <c r="H31" s="5">
        <f>INDEX(ET.region!$A$51:$M$61,MATCH(ET.county!$B31,ET.region!$A$51:$A$61,0),MATCH(ET.county!H$1,ET.region!$A$51:$M$51,0))</f>
        <v>6.6496062992125982</v>
      </c>
      <c r="I31" s="5">
        <f>INDEX(ET.region!$A$51:$M$61,MATCH(ET.county!$B31,ET.region!$A$51:$A$61,0),MATCH(ET.county!I$1,ET.region!$A$51:$M$51,0))</f>
        <v>6.9322834645669289</v>
      </c>
      <c r="J31" s="5">
        <f>INDEX(ET.region!$A$51:$M$61,MATCH(ET.county!$B31,ET.region!$A$51:$A$61,0),MATCH(ET.county!J$1,ET.region!$A$51:$M$51,0))</f>
        <v>6.1755905511811022</v>
      </c>
      <c r="K31" s="5">
        <f>INDEX(ET.region!$A$51:$M$61,MATCH(ET.county!$B31,ET.region!$A$51:$A$61,0),MATCH(ET.county!K$1,ET.region!$A$51:$M$51,0))</f>
        <v>4.7125984251968509</v>
      </c>
      <c r="L31" s="5">
        <f>INDEX(ET.region!$A$51:$M$61,MATCH(ET.county!$B31,ET.region!$A$51:$A$61,0),MATCH(ET.county!L$1,ET.region!$A$51:$M$51,0))</f>
        <v>3.4173228346456694</v>
      </c>
      <c r="M31" s="5">
        <f>INDEX(ET.region!$A$51:$M$61,MATCH(ET.county!$B31,ET.region!$A$51:$A$61,0),MATCH(ET.county!M$1,ET.region!$A$51:$M$51,0))</f>
        <v>2.1141732283464569</v>
      </c>
      <c r="N31" s="5">
        <f>INDEX(ET.region!$A$51:$M$61,MATCH(ET.county!$B31,ET.region!$A$51:$A$61,0),MATCH(ET.county!N$1,ET.region!$A$51:$M$51,0))</f>
        <v>1.4523622047244096</v>
      </c>
    </row>
    <row r="32" spans="1:14" x14ac:dyDescent="0.3">
      <c r="A32" t="s">
        <v>378</v>
      </c>
      <c r="B32" t="s">
        <v>387</v>
      </c>
      <c r="C32" s="5">
        <f>INDEX(ET.region!$A$51:$M$61,MATCH(ET.county!$B32,ET.region!$A$51:$A$61,0),MATCH(ET.county!C$1,ET.region!$A$51:$M$51,0))</f>
        <v>1.5744094488188978</v>
      </c>
      <c r="D32" s="5">
        <f>INDEX(ET.region!$A$51:$M$61,MATCH(ET.county!$B32,ET.region!$A$51:$A$61,0),MATCH(ET.county!D$1,ET.region!$A$51:$M$51,0))</f>
        <v>2.0173228346456695</v>
      </c>
      <c r="E32" s="5">
        <f>INDEX(ET.region!$A$51:$M$61,MATCH(ET.county!$B32,ET.region!$A$51:$A$61,0),MATCH(ET.county!E$1,ET.region!$A$51:$M$51,0))</f>
        <v>3.4661417322834644</v>
      </c>
      <c r="F32" s="5">
        <f>INDEX(ET.region!$A$51:$M$61,MATCH(ET.county!$B32,ET.region!$A$51:$A$61,0),MATCH(ET.county!F$1,ET.region!$A$51:$M$51,0))</f>
        <v>4.877952755905512</v>
      </c>
      <c r="G32" s="5">
        <f>INDEX(ET.region!$A$51:$M$61,MATCH(ET.county!$B32,ET.region!$A$51:$A$61,0),MATCH(ET.county!G$1,ET.region!$A$51:$M$51,0))</f>
        <v>6.2976377952755911</v>
      </c>
      <c r="H32" s="5">
        <f>INDEX(ET.region!$A$51:$M$61,MATCH(ET.county!$B32,ET.region!$A$51:$A$61,0),MATCH(ET.county!H$1,ET.region!$A$51:$M$51,0))</f>
        <v>6.6968503937007879</v>
      </c>
      <c r="I32" s="5">
        <f>INDEX(ET.region!$A$51:$M$61,MATCH(ET.county!$B32,ET.region!$A$51:$A$61,0),MATCH(ET.county!I$1,ET.region!$A$51:$M$51,0))</f>
        <v>6.8346456692913389</v>
      </c>
      <c r="J32" s="5">
        <f>INDEX(ET.region!$A$51:$M$61,MATCH(ET.county!$B32,ET.region!$A$51:$A$61,0),MATCH(ET.county!J$1,ET.region!$A$51:$M$51,0))</f>
        <v>6.1145669291338578</v>
      </c>
      <c r="K32" s="5">
        <f>INDEX(ET.region!$A$51:$M$61,MATCH(ET.county!$B32,ET.region!$A$51:$A$61,0),MATCH(ET.county!K$1,ET.region!$A$51:$M$51,0))</f>
        <v>4.7125984251968509</v>
      </c>
      <c r="L32" s="5">
        <f>INDEX(ET.region!$A$51:$M$61,MATCH(ET.county!$B32,ET.region!$A$51:$A$61,0),MATCH(ET.county!L$1,ET.region!$A$51:$M$51,0))</f>
        <v>3.4661417322834644</v>
      </c>
      <c r="M32" s="5">
        <f>INDEX(ET.region!$A$51:$M$61,MATCH(ET.county!$B32,ET.region!$A$51:$A$61,0),MATCH(ET.county!M$1,ET.region!$A$51:$M$51,0))</f>
        <v>2.1968503937007875</v>
      </c>
      <c r="N32" s="5">
        <f>INDEX(ET.region!$A$51:$M$61,MATCH(ET.county!$B32,ET.region!$A$51:$A$61,0),MATCH(ET.county!N$1,ET.region!$A$51:$M$51,0))</f>
        <v>1.55</v>
      </c>
    </row>
    <row r="33" spans="1:14" x14ac:dyDescent="0.3">
      <c r="A33" t="s">
        <v>100</v>
      </c>
      <c r="B33" t="s">
        <v>389</v>
      </c>
      <c r="C33" s="5">
        <f>INDEX(ET.region!$A$51:$M$61,MATCH(ET.county!$B33,ET.region!$A$51:$A$61,0),MATCH(ET.county!C$1,ET.region!$A$51:$M$51,0))</f>
        <v>1.562204724409449</v>
      </c>
      <c r="D33" s="5">
        <f>INDEX(ET.region!$A$51:$M$61,MATCH(ET.county!$B33,ET.region!$A$51:$A$61,0),MATCH(ET.county!D$1,ET.region!$A$51:$M$51,0))</f>
        <v>2.0503937007874016</v>
      </c>
      <c r="E33" s="5">
        <f>INDEX(ET.region!$A$51:$M$61,MATCH(ET.county!$B33,ET.region!$A$51:$A$61,0),MATCH(ET.county!E$1,ET.region!$A$51:$M$51,0))</f>
        <v>3.5027559055118114</v>
      </c>
      <c r="F33" s="5">
        <f>INDEX(ET.region!$A$51:$M$61,MATCH(ET.county!$B33,ET.region!$A$51:$A$61,0),MATCH(ET.county!F$1,ET.region!$A$51:$M$51,0))</f>
        <v>4.9370078740157481</v>
      </c>
      <c r="G33" s="5">
        <f>INDEX(ET.region!$A$51:$M$61,MATCH(ET.county!$B33,ET.region!$A$51:$A$61,0),MATCH(ET.county!G$1,ET.region!$A$51:$M$51,0))</f>
        <v>6.2122047244094487</v>
      </c>
      <c r="H33" s="5">
        <f>INDEX(ET.region!$A$51:$M$61,MATCH(ET.county!$B33,ET.region!$A$51:$A$61,0),MATCH(ET.county!H$1,ET.region!$A$51:$M$51,0))</f>
        <v>6.6968503937007879</v>
      </c>
      <c r="I33" s="5">
        <f>INDEX(ET.region!$A$51:$M$61,MATCH(ET.county!$B33,ET.region!$A$51:$A$61,0),MATCH(ET.county!I$1,ET.region!$A$51:$M$51,0))</f>
        <v>6.9444881889763792</v>
      </c>
      <c r="J33" s="5">
        <f>INDEX(ET.region!$A$51:$M$61,MATCH(ET.county!$B33,ET.region!$A$51:$A$61,0),MATCH(ET.county!J$1,ET.region!$A$51:$M$51,0))</f>
        <v>6.2122047244094487</v>
      </c>
      <c r="K33" s="5">
        <f>INDEX(ET.region!$A$51:$M$61,MATCH(ET.county!$B33,ET.region!$A$51:$A$61,0),MATCH(ET.county!K$1,ET.region!$A$51:$M$51,0))</f>
        <v>4.7598425196850407</v>
      </c>
      <c r="L33" s="5">
        <f>INDEX(ET.region!$A$51:$M$61,MATCH(ET.county!$B33,ET.region!$A$51:$A$61,0),MATCH(ET.county!L$1,ET.region!$A$51:$M$51,0))</f>
        <v>3.4417322834645669</v>
      </c>
      <c r="M33" s="5">
        <f>INDEX(ET.region!$A$51:$M$61,MATCH(ET.county!$B33,ET.region!$A$51:$A$61,0),MATCH(ET.county!M$1,ET.region!$A$51:$M$51,0))</f>
        <v>2.1496062992125986</v>
      </c>
      <c r="N33" s="5">
        <f>INDEX(ET.region!$A$51:$M$61,MATCH(ET.county!$B33,ET.region!$A$51:$A$61,0),MATCH(ET.county!N$1,ET.region!$A$51:$M$51,0))</f>
        <v>1.5133858267716536</v>
      </c>
    </row>
    <row r="34" spans="1:14" x14ac:dyDescent="0.3">
      <c r="A34" t="s">
        <v>365</v>
      </c>
      <c r="B34" t="s">
        <v>395</v>
      </c>
      <c r="C34" s="5">
        <f>INDEX(ET.region!$A$51:$M$61,MATCH(ET.county!$B34,ET.region!$A$51:$A$61,0),MATCH(ET.county!C$1,ET.region!$A$51:$M$51,0))</f>
        <v>1.5255905511811025</v>
      </c>
      <c r="D34" s="5">
        <f>INDEX(ET.region!$A$51:$M$61,MATCH(ET.county!$B34,ET.region!$A$51:$A$61,0),MATCH(ET.county!D$1,ET.region!$A$51:$M$51,0))</f>
        <v>2.0173228346456695</v>
      </c>
      <c r="E34" s="5">
        <f>INDEX(ET.region!$A$51:$M$61,MATCH(ET.county!$B34,ET.region!$A$51:$A$61,0),MATCH(ET.county!E$1,ET.region!$A$51:$M$51,0))</f>
        <v>3.4905511811023624</v>
      </c>
      <c r="F34" s="5">
        <f>INDEX(ET.region!$A$51:$M$61,MATCH(ET.county!$B34,ET.region!$A$51:$A$61,0),MATCH(ET.county!F$1,ET.region!$A$51:$M$51,0))</f>
        <v>5.0551181102362204</v>
      </c>
      <c r="G34" s="5">
        <f>INDEX(ET.region!$A$51:$M$61,MATCH(ET.county!$B34,ET.region!$A$51:$A$61,0),MATCH(ET.county!G$1,ET.region!$A$51:$M$51,0))</f>
        <v>6.4318897637795267</v>
      </c>
      <c r="H34" s="5">
        <f>INDEX(ET.region!$A$51:$M$61,MATCH(ET.county!$B34,ET.region!$A$51:$A$61,0),MATCH(ET.county!H$1,ET.region!$A$51:$M$51,0))</f>
        <v>7.0748031496063</v>
      </c>
      <c r="I34" s="5">
        <f>INDEX(ET.region!$A$51:$M$61,MATCH(ET.county!$B34,ET.region!$A$51:$A$61,0),MATCH(ET.county!I$1,ET.region!$A$51:$M$51,0))</f>
        <v>7.359448818897639</v>
      </c>
      <c r="J34" s="5">
        <f>INDEX(ET.region!$A$51:$M$61,MATCH(ET.county!$B34,ET.region!$A$51:$A$61,0),MATCH(ET.county!J$1,ET.region!$A$51:$M$51,0))</f>
        <v>6.566141732283465</v>
      </c>
      <c r="K34" s="5">
        <f>INDEX(ET.region!$A$51:$M$61,MATCH(ET.county!$B34,ET.region!$A$51:$A$61,0),MATCH(ET.county!K$1,ET.region!$A$51:$M$51,0))</f>
        <v>4.9488188976377963</v>
      </c>
      <c r="L34" s="5">
        <f>INDEX(ET.region!$A$51:$M$61,MATCH(ET.county!$B34,ET.region!$A$51:$A$61,0),MATCH(ET.county!L$1,ET.region!$A$51:$M$51,0))</f>
        <v>3.5759842519685043</v>
      </c>
      <c r="M34" s="5">
        <f>INDEX(ET.region!$A$51:$M$61,MATCH(ET.county!$B34,ET.region!$A$51:$A$61,0),MATCH(ET.county!M$1,ET.region!$A$51:$M$51,0))</f>
        <v>2.1968503937007875</v>
      </c>
      <c r="N34" s="5">
        <f>INDEX(ET.region!$A$51:$M$61,MATCH(ET.county!$B34,ET.region!$A$51:$A$61,0),MATCH(ET.county!N$1,ET.region!$A$51:$M$51,0))</f>
        <v>1.5255905511811025</v>
      </c>
    </row>
    <row r="35" spans="1:14" x14ac:dyDescent="0.3">
      <c r="A35" t="s">
        <v>347</v>
      </c>
      <c r="B35" t="s">
        <v>391</v>
      </c>
      <c r="C35" s="5">
        <f>INDEX(ET.region!$A$51:$M$61,MATCH(ET.county!$B35,ET.region!$A$51:$A$61,0),MATCH(ET.county!C$1,ET.region!$A$51:$M$51,0))</f>
        <v>1.3425196850393704</v>
      </c>
      <c r="D35" s="5">
        <f>INDEX(ET.region!$A$51:$M$61,MATCH(ET.county!$B35,ET.region!$A$51:$A$61,0),MATCH(ET.county!D$1,ET.region!$A$51:$M$51,0))</f>
        <v>1.7637795275590555</v>
      </c>
      <c r="E35" s="5">
        <f>INDEX(ET.region!$A$51:$M$61,MATCH(ET.county!$B35,ET.region!$A$51:$A$61,0),MATCH(ET.county!E$1,ET.region!$A$51:$M$51,0))</f>
        <v>3.0877952755905511</v>
      </c>
      <c r="F35" s="5">
        <f>INDEX(ET.region!$A$51:$M$61,MATCH(ET.county!$B35,ET.region!$A$51:$A$61,0),MATCH(ET.county!F$1,ET.region!$A$51:$M$51,0))</f>
        <v>4.4763779527559056</v>
      </c>
      <c r="G35" s="5">
        <f>INDEX(ET.region!$A$51:$M$61,MATCH(ET.county!$B35,ET.region!$A$51:$A$61,0),MATCH(ET.county!G$1,ET.region!$A$51:$M$51,0))</f>
        <v>5.8216535433070868</v>
      </c>
      <c r="H35" s="5">
        <f>INDEX(ET.region!$A$51:$M$61,MATCH(ET.county!$B35,ET.region!$A$51:$A$61,0),MATCH(ET.county!H$1,ET.region!$A$51:$M$51,0))</f>
        <v>6.4842519685039379</v>
      </c>
      <c r="I35" s="5">
        <f>INDEX(ET.region!$A$51:$M$61,MATCH(ET.county!$B35,ET.region!$A$51:$A$61,0),MATCH(ET.county!I$1,ET.region!$A$51:$M$51,0))</f>
        <v>6.8346456692913389</v>
      </c>
      <c r="J35" s="5">
        <f>INDEX(ET.region!$A$51:$M$61,MATCH(ET.county!$B35,ET.region!$A$51:$A$61,0),MATCH(ET.county!J$1,ET.region!$A$51:$M$51,0))</f>
        <v>6.1267716535433072</v>
      </c>
      <c r="K35" s="5">
        <f>INDEX(ET.region!$A$51:$M$61,MATCH(ET.county!$B35,ET.region!$A$51:$A$61,0),MATCH(ET.county!K$1,ET.region!$A$51:$M$51,0))</f>
        <v>4.5826771653543314</v>
      </c>
      <c r="L35" s="5">
        <f>INDEX(ET.region!$A$51:$M$61,MATCH(ET.county!$B35,ET.region!$A$51:$A$61,0),MATCH(ET.county!L$1,ET.region!$A$51:$M$51,0))</f>
        <v>3.246456692913386</v>
      </c>
      <c r="M35" s="5">
        <f>INDEX(ET.region!$A$51:$M$61,MATCH(ET.county!$B35,ET.region!$A$51:$A$61,0),MATCH(ET.county!M$1,ET.region!$A$51:$M$51,0))</f>
        <v>1.9488188976377951</v>
      </c>
      <c r="N35" s="5">
        <f>INDEX(ET.region!$A$51:$M$61,MATCH(ET.county!$B35,ET.region!$A$51:$A$61,0),MATCH(ET.county!N$1,ET.region!$A$51:$M$51,0))</f>
        <v>1.3181102362204726</v>
      </c>
    </row>
    <row r="36" spans="1:14" x14ac:dyDescent="0.3">
      <c r="A36" t="s">
        <v>126</v>
      </c>
      <c r="B36" t="s">
        <v>389</v>
      </c>
      <c r="C36" s="5">
        <f>INDEX(ET.region!$A$51:$M$61,MATCH(ET.county!$B36,ET.region!$A$51:$A$61,0),MATCH(ET.county!C$1,ET.region!$A$51:$M$51,0))</f>
        <v>1.562204724409449</v>
      </c>
      <c r="D36" s="5">
        <f>INDEX(ET.region!$A$51:$M$61,MATCH(ET.county!$B36,ET.region!$A$51:$A$61,0),MATCH(ET.county!D$1,ET.region!$A$51:$M$51,0))</f>
        <v>2.0503937007874016</v>
      </c>
      <c r="E36" s="5">
        <f>INDEX(ET.region!$A$51:$M$61,MATCH(ET.county!$B36,ET.region!$A$51:$A$61,0),MATCH(ET.county!E$1,ET.region!$A$51:$M$51,0))</f>
        <v>3.5027559055118114</v>
      </c>
      <c r="F36" s="5">
        <f>INDEX(ET.region!$A$51:$M$61,MATCH(ET.county!$B36,ET.region!$A$51:$A$61,0),MATCH(ET.county!F$1,ET.region!$A$51:$M$51,0))</f>
        <v>4.9370078740157481</v>
      </c>
      <c r="G36" s="5">
        <f>INDEX(ET.region!$A$51:$M$61,MATCH(ET.county!$B36,ET.region!$A$51:$A$61,0),MATCH(ET.county!G$1,ET.region!$A$51:$M$51,0))</f>
        <v>6.2122047244094487</v>
      </c>
      <c r="H36" s="5">
        <f>INDEX(ET.region!$A$51:$M$61,MATCH(ET.county!$B36,ET.region!$A$51:$A$61,0),MATCH(ET.county!H$1,ET.region!$A$51:$M$51,0))</f>
        <v>6.6968503937007879</v>
      </c>
      <c r="I36" s="5">
        <f>INDEX(ET.region!$A$51:$M$61,MATCH(ET.county!$B36,ET.region!$A$51:$A$61,0),MATCH(ET.county!I$1,ET.region!$A$51:$M$51,0))</f>
        <v>6.9444881889763792</v>
      </c>
      <c r="J36" s="5">
        <f>INDEX(ET.region!$A$51:$M$61,MATCH(ET.county!$B36,ET.region!$A$51:$A$61,0),MATCH(ET.county!J$1,ET.region!$A$51:$M$51,0))</f>
        <v>6.2122047244094487</v>
      </c>
      <c r="K36" s="5">
        <f>INDEX(ET.region!$A$51:$M$61,MATCH(ET.county!$B36,ET.region!$A$51:$A$61,0),MATCH(ET.county!K$1,ET.region!$A$51:$M$51,0))</f>
        <v>4.7598425196850407</v>
      </c>
      <c r="L36" s="5">
        <f>INDEX(ET.region!$A$51:$M$61,MATCH(ET.county!$B36,ET.region!$A$51:$A$61,0),MATCH(ET.county!L$1,ET.region!$A$51:$M$51,0))</f>
        <v>3.4417322834645669</v>
      </c>
      <c r="M36" s="5">
        <f>INDEX(ET.region!$A$51:$M$61,MATCH(ET.county!$B36,ET.region!$A$51:$A$61,0),MATCH(ET.county!M$1,ET.region!$A$51:$M$51,0))</f>
        <v>2.1496062992125986</v>
      </c>
      <c r="N36" s="5">
        <f>INDEX(ET.region!$A$51:$M$61,MATCH(ET.county!$B36,ET.region!$A$51:$A$61,0),MATCH(ET.county!N$1,ET.region!$A$51:$M$51,0))</f>
        <v>1.5133858267716536</v>
      </c>
    </row>
    <row r="37" spans="1:14" x14ac:dyDescent="0.3">
      <c r="A37" t="s">
        <v>711</v>
      </c>
      <c r="B37" t="s">
        <v>395</v>
      </c>
      <c r="C37" s="5">
        <f>INDEX(ET.region!$A$51:$M$61,MATCH(ET.county!$B37,ET.region!$A$51:$A$61,0),MATCH(ET.county!C$1,ET.region!$A$51:$M$51,0))</f>
        <v>1.5255905511811025</v>
      </c>
      <c r="D37" s="5">
        <f>INDEX(ET.region!$A$51:$M$61,MATCH(ET.county!$B37,ET.region!$A$51:$A$61,0),MATCH(ET.county!D$1,ET.region!$A$51:$M$51,0))</f>
        <v>2.0173228346456695</v>
      </c>
      <c r="E37" s="5">
        <f>INDEX(ET.region!$A$51:$M$61,MATCH(ET.county!$B37,ET.region!$A$51:$A$61,0),MATCH(ET.county!E$1,ET.region!$A$51:$M$51,0))</f>
        <v>3.4905511811023624</v>
      </c>
      <c r="F37" s="5">
        <f>INDEX(ET.region!$A$51:$M$61,MATCH(ET.county!$B37,ET.region!$A$51:$A$61,0),MATCH(ET.county!F$1,ET.region!$A$51:$M$51,0))</f>
        <v>5.0551181102362204</v>
      </c>
      <c r="G37" s="5">
        <f>INDEX(ET.region!$A$51:$M$61,MATCH(ET.county!$B37,ET.region!$A$51:$A$61,0),MATCH(ET.county!G$1,ET.region!$A$51:$M$51,0))</f>
        <v>6.4318897637795267</v>
      </c>
      <c r="H37" s="5">
        <f>INDEX(ET.region!$A$51:$M$61,MATCH(ET.county!$B37,ET.region!$A$51:$A$61,0),MATCH(ET.county!H$1,ET.region!$A$51:$M$51,0))</f>
        <v>7.0748031496063</v>
      </c>
      <c r="I37" s="5">
        <f>INDEX(ET.region!$A$51:$M$61,MATCH(ET.county!$B37,ET.region!$A$51:$A$61,0),MATCH(ET.county!I$1,ET.region!$A$51:$M$51,0))</f>
        <v>7.359448818897639</v>
      </c>
      <c r="J37" s="5">
        <f>INDEX(ET.region!$A$51:$M$61,MATCH(ET.county!$B37,ET.region!$A$51:$A$61,0),MATCH(ET.county!J$1,ET.region!$A$51:$M$51,0))</f>
        <v>6.566141732283465</v>
      </c>
      <c r="K37" s="5">
        <f>INDEX(ET.region!$A$51:$M$61,MATCH(ET.county!$B37,ET.region!$A$51:$A$61,0),MATCH(ET.county!K$1,ET.region!$A$51:$M$51,0))</f>
        <v>4.9488188976377963</v>
      </c>
      <c r="L37" s="5">
        <f>INDEX(ET.region!$A$51:$M$61,MATCH(ET.county!$B37,ET.region!$A$51:$A$61,0),MATCH(ET.county!L$1,ET.region!$A$51:$M$51,0))</f>
        <v>3.5759842519685043</v>
      </c>
      <c r="M37" s="5">
        <f>INDEX(ET.region!$A$51:$M$61,MATCH(ET.county!$B37,ET.region!$A$51:$A$61,0),MATCH(ET.county!M$1,ET.region!$A$51:$M$51,0))</f>
        <v>2.1968503937007875</v>
      </c>
      <c r="N37" s="5">
        <f>INDEX(ET.region!$A$51:$M$61,MATCH(ET.county!$B37,ET.region!$A$51:$A$61,0),MATCH(ET.county!N$1,ET.region!$A$51:$M$51,0))</f>
        <v>1.5255905511811025</v>
      </c>
    </row>
    <row r="38" spans="1:14" x14ac:dyDescent="0.3">
      <c r="A38" t="s">
        <v>337</v>
      </c>
      <c r="B38" t="s">
        <v>392</v>
      </c>
      <c r="C38" s="5">
        <f>INDEX(ET.region!$A$51:$M$61,MATCH(ET.county!$B38,ET.region!$A$51:$A$61,0),MATCH(ET.county!C$1,ET.region!$A$51:$M$51,0))</f>
        <v>1.4889763779527558</v>
      </c>
      <c r="D38" s="5">
        <f>INDEX(ET.region!$A$51:$M$61,MATCH(ET.county!$B38,ET.region!$A$51:$A$61,0),MATCH(ET.county!D$1,ET.region!$A$51:$M$51,0))</f>
        <v>1.9401574803149606</v>
      </c>
      <c r="E38" s="5">
        <f>INDEX(ET.region!$A$51:$M$61,MATCH(ET.county!$B38,ET.region!$A$51:$A$61,0),MATCH(ET.county!E$1,ET.region!$A$51:$M$51,0))</f>
        <v>3.2952755905511819</v>
      </c>
      <c r="F38" s="5">
        <f>INDEX(ET.region!$A$51:$M$61,MATCH(ET.county!$B38,ET.region!$A$51:$A$61,0),MATCH(ET.county!F$1,ET.region!$A$51:$M$51,0))</f>
        <v>4.7007874015748037</v>
      </c>
      <c r="G38" s="5">
        <f>INDEX(ET.region!$A$51:$M$61,MATCH(ET.county!$B38,ET.region!$A$51:$A$61,0),MATCH(ET.county!G$1,ET.region!$A$51:$M$51,0))</f>
        <v>6.0169291338582678</v>
      </c>
      <c r="H38" s="5">
        <f>INDEX(ET.region!$A$51:$M$61,MATCH(ET.county!$B38,ET.region!$A$51:$A$61,0),MATCH(ET.county!H$1,ET.region!$A$51:$M$51,0))</f>
        <v>6.6496062992125982</v>
      </c>
      <c r="I38" s="5">
        <f>INDEX(ET.region!$A$51:$M$61,MATCH(ET.county!$B38,ET.region!$A$51:$A$61,0),MATCH(ET.county!I$1,ET.region!$A$51:$M$51,0))</f>
        <v>6.9322834645669289</v>
      </c>
      <c r="J38" s="5">
        <f>INDEX(ET.region!$A$51:$M$61,MATCH(ET.county!$B38,ET.region!$A$51:$A$61,0),MATCH(ET.county!J$1,ET.region!$A$51:$M$51,0))</f>
        <v>6.1755905511811022</v>
      </c>
      <c r="K38" s="5">
        <f>INDEX(ET.region!$A$51:$M$61,MATCH(ET.county!$B38,ET.region!$A$51:$A$61,0),MATCH(ET.county!K$1,ET.region!$A$51:$M$51,0))</f>
        <v>4.7125984251968509</v>
      </c>
      <c r="L38" s="5">
        <f>INDEX(ET.region!$A$51:$M$61,MATCH(ET.county!$B38,ET.region!$A$51:$A$61,0),MATCH(ET.county!L$1,ET.region!$A$51:$M$51,0))</f>
        <v>3.4173228346456694</v>
      </c>
      <c r="M38" s="5">
        <f>INDEX(ET.region!$A$51:$M$61,MATCH(ET.county!$B38,ET.region!$A$51:$A$61,0),MATCH(ET.county!M$1,ET.region!$A$51:$M$51,0))</f>
        <v>2.1141732283464569</v>
      </c>
      <c r="N38" s="5">
        <f>INDEX(ET.region!$A$51:$M$61,MATCH(ET.county!$B38,ET.region!$A$51:$A$61,0),MATCH(ET.county!N$1,ET.region!$A$51:$M$51,0))</f>
        <v>1.4523622047244096</v>
      </c>
    </row>
    <row r="39" spans="1:14" x14ac:dyDescent="0.3">
      <c r="A39" t="s">
        <v>131</v>
      </c>
      <c r="B39" t="s">
        <v>394</v>
      </c>
      <c r="C39" s="5">
        <f>INDEX(ET.region!$A$51:$M$61,MATCH(ET.county!$B39,ET.region!$A$51:$A$61,0),MATCH(ET.county!C$1,ET.region!$A$51:$M$51,0))</f>
        <v>1.3913385826771654</v>
      </c>
      <c r="D39" s="5">
        <f>INDEX(ET.region!$A$51:$M$61,MATCH(ET.county!$B39,ET.region!$A$51:$A$61,0),MATCH(ET.county!D$1,ET.region!$A$51:$M$51,0))</f>
        <v>1.7748031496062995</v>
      </c>
      <c r="E39" s="5">
        <f>INDEX(ET.region!$A$51:$M$61,MATCH(ET.county!$B39,ET.region!$A$51:$A$61,0),MATCH(ET.county!E$1,ET.region!$A$51:$M$51,0))</f>
        <v>3.0633858267716536</v>
      </c>
      <c r="F39" s="5">
        <f>INDEX(ET.region!$A$51:$M$61,MATCH(ET.county!$B39,ET.region!$A$51:$A$61,0),MATCH(ET.county!F$1,ET.region!$A$51:$M$51,0))</f>
        <v>4.4173228346456694</v>
      </c>
      <c r="G39" s="5">
        <f>INDEX(ET.region!$A$51:$M$61,MATCH(ET.county!$B39,ET.region!$A$51:$A$61,0),MATCH(ET.county!G$1,ET.region!$A$51:$M$51,0))</f>
        <v>5.7362204724409454</v>
      </c>
      <c r="H39" s="5">
        <f>INDEX(ET.region!$A$51:$M$61,MATCH(ET.county!$B39,ET.region!$A$51:$A$61,0),MATCH(ET.county!H$1,ET.region!$A$51:$M$51,0))</f>
        <v>6.3070866141732287</v>
      </c>
      <c r="I39" s="5">
        <f>INDEX(ET.region!$A$51:$M$61,MATCH(ET.county!$B39,ET.region!$A$51:$A$61,0),MATCH(ET.county!I$1,ET.region!$A$51:$M$51,0))</f>
        <v>6.5417322834645679</v>
      </c>
      <c r="J39" s="5">
        <f>INDEX(ET.region!$A$51:$M$61,MATCH(ET.county!$B39,ET.region!$A$51:$A$61,0),MATCH(ET.county!J$1,ET.region!$A$51:$M$51,0))</f>
        <v>5.9314960629921272</v>
      </c>
      <c r="K39" s="5">
        <f>INDEX(ET.region!$A$51:$M$61,MATCH(ET.county!$B39,ET.region!$A$51:$A$61,0),MATCH(ET.county!K$1,ET.region!$A$51:$M$51,0))</f>
        <v>4.5118110236220472</v>
      </c>
      <c r="L39" s="5">
        <f>INDEX(ET.region!$A$51:$M$61,MATCH(ET.county!$B39,ET.region!$A$51:$A$61,0),MATCH(ET.county!L$1,ET.region!$A$51:$M$51,0))</f>
        <v>3.270866141732284</v>
      </c>
      <c r="M39" s="5">
        <f>INDEX(ET.region!$A$51:$M$61,MATCH(ET.county!$B39,ET.region!$A$51:$A$61,0),MATCH(ET.county!M$1,ET.region!$A$51:$M$51,0))</f>
        <v>1.9724409448818898</v>
      </c>
      <c r="N39" s="5">
        <f>INDEX(ET.region!$A$51:$M$61,MATCH(ET.county!$B39,ET.region!$A$51:$A$61,0),MATCH(ET.county!N$1,ET.region!$A$51:$M$51,0))</f>
        <v>1.3547244094488189</v>
      </c>
    </row>
    <row r="40" spans="1:14" x14ac:dyDescent="0.3">
      <c r="A40" t="s">
        <v>315</v>
      </c>
      <c r="B40" t="s">
        <v>391</v>
      </c>
      <c r="C40" s="5">
        <f>INDEX(ET.region!$A$51:$M$61,MATCH(ET.county!$B40,ET.region!$A$51:$A$61,0),MATCH(ET.county!C$1,ET.region!$A$51:$M$51,0))</f>
        <v>1.3425196850393704</v>
      </c>
      <c r="D40" s="5">
        <f>INDEX(ET.region!$A$51:$M$61,MATCH(ET.county!$B40,ET.region!$A$51:$A$61,0),MATCH(ET.county!D$1,ET.region!$A$51:$M$51,0))</f>
        <v>1.7637795275590555</v>
      </c>
      <c r="E40" s="5">
        <f>INDEX(ET.region!$A$51:$M$61,MATCH(ET.county!$B40,ET.region!$A$51:$A$61,0),MATCH(ET.county!E$1,ET.region!$A$51:$M$51,0))</f>
        <v>3.0877952755905511</v>
      </c>
      <c r="F40" s="5">
        <f>INDEX(ET.region!$A$51:$M$61,MATCH(ET.county!$B40,ET.region!$A$51:$A$61,0),MATCH(ET.county!F$1,ET.region!$A$51:$M$51,0))</f>
        <v>4.4763779527559056</v>
      </c>
      <c r="G40" s="5">
        <f>INDEX(ET.region!$A$51:$M$61,MATCH(ET.county!$B40,ET.region!$A$51:$A$61,0),MATCH(ET.county!G$1,ET.region!$A$51:$M$51,0))</f>
        <v>5.8216535433070868</v>
      </c>
      <c r="H40" s="5">
        <f>INDEX(ET.region!$A$51:$M$61,MATCH(ET.county!$B40,ET.region!$A$51:$A$61,0),MATCH(ET.county!H$1,ET.region!$A$51:$M$51,0))</f>
        <v>6.4842519685039379</v>
      </c>
      <c r="I40" s="5">
        <f>INDEX(ET.region!$A$51:$M$61,MATCH(ET.county!$B40,ET.region!$A$51:$A$61,0),MATCH(ET.county!I$1,ET.region!$A$51:$M$51,0))</f>
        <v>6.8346456692913389</v>
      </c>
      <c r="J40" s="5">
        <f>INDEX(ET.region!$A$51:$M$61,MATCH(ET.county!$B40,ET.region!$A$51:$A$61,0),MATCH(ET.county!J$1,ET.region!$A$51:$M$51,0))</f>
        <v>6.1267716535433072</v>
      </c>
      <c r="K40" s="5">
        <f>INDEX(ET.region!$A$51:$M$61,MATCH(ET.county!$B40,ET.region!$A$51:$A$61,0),MATCH(ET.county!K$1,ET.region!$A$51:$M$51,0))</f>
        <v>4.5826771653543314</v>
      </c>
      <c r="L40" s="5">
        <f>INDEX(ET.region!$A$51:$M$61,MATCH(ET.county!$B40,ET.region!$A$51:$A$61,0),MATCH(ET.county!L$1,ET.region!$A$51:$M$51,0))</f>
        <v>3.246456692913386</v>
      </c>
      <c r="M40" s="5">
        <f>INDEX(ET.region!$A$51:$M$61,MATCH(ET.county!$B40,ET.region!$A$51:$A$61,0),MATCH(ET.county!M$1,ET.region!$A$51:$M$51,0))</f>
        <v>1.9488188976377951</v>
      </c>
      <c r="N40" s="5">
        <f>INDEX(ET.region!$A$51:$M$61,MATCH(ET.county!$B40,ET.region!$A$51:$A$61,0),MATCH(ET.county!N$1,ET.region!$A$51:$M$51,0))</f>
        <v>1.3181102362204726</v>
      </c>
    </row>
    <row r="41" spans="1:14" x14ac:dyDescent="0.3">
      <c r="A41" t="s">
        <v>715</v>
      </c>
      <c r="B41" t="s">
        <v>387</v>
      </c>
      <c r="C41" s="5">
        <f>INDEX(ET.region!$A$51:$M$61,MATCH(ET.county!$B41,ET.region!$A$51:$A$61,0),MATCH(ET.county!C$1,ET.region!$A$51:$M$51,0))</f>
        <v>1.5744094488188978</v>
      </c>
      <c r="D41" s="5">
        <f>INDEX(ET.region!$A$51:$M$61,MATCH(ET.county!$B41,ET.region!$A$51:$A$61,0),MATCH(ET.county!D$1,ET.region!$A$51:$M$51,0))</f>
        <v>2.0173228346456695</v>
      </c>
      <c r="E41" s="5">
        <f>INDEX(ET.region!$A$51:$M$61,MATCH(ET.county!$B41,ET.region!$A$51:$A$61,0),MATCH(ET.county!E$1,ET.region!$A$51:$M$51,0))</f>
        <v>3.4661417322834644</v>
      </c>
      <c r="F41" s="5">
        <f>INDEX(ET.region!$A$51:$M$61,MATCH(ET.county!$B41,ET.region!$A$51:$A$61,0),MATCH(ET.county!F$1,ET.region!$A$51:$M$51,0))</f>
        <v>4.877952755905512</v>
      </c>
      <c r="G41" s="5">
        <f>INDEX(ET.region!$A$51:$M$61,MATCH(ET.county!$B41,ET.region!$A$51:$A$61,0),MATCH(ET.county!G$1,ET.region!$A$51:$M$51,0))</f>
        <v>6.2976377952755911</v>
      </c>
      <c r="H41" s="5">
        <f>INDEX(ET.region!$A$51:$M$61,MATCH(ET.county!$B41,ET.region!$A$51:$A$61,0),MATCH(ET.county!H$1,ET.region!$A$51:$M$51,0))</f>
        <v>6.6968503937007879</v>
      </c>
      <c r="I41" s="5">
        <f>INDEX(ET.region!$A$51:$M$61,MATCH(ET.county!$B41,ET.region!$A$51:$A$61,0),MATCH(ET.county!I$1,ET.region!$A$51:$M$51,0))</f>
        <v>6.8346456692913389</v>
      </c>
      <c r="J41" s="5">
        <f>INDEX(ET.region!$A$51:$M$61,MATCH(ET.county!$B41,ET.region!$A$51:$A$61,0),MATCH(ET.county!J$1,ET.region!$A$51:$M$51,0))</f>
        <v>6.1145669291338578</v>
      </c>
      <c r="K41" s="5">
        <f>INDEX(ET.region!$A$51:$M$61,MATCH(ET.county!$B41,ET.region!$A$51:$A$61,0),MATCH(ET.county!K$1,ET.region!$A$51:$M$51,0))</f>
        <v>4.7125984251968509</v>
      </c>
      <c r="L41" s="5">
        <f>INDEX(ET.region!$A$51:$M$61,MATCH(ET.county!$B41,ET.region!$A$51:$A$61,0),MATCH(ET.county!L$1,ET.region!$A$51:$M$51,0))</f>
        <v>3.4661417322834644</v>
      </c>
      <c r="M41" s="5">
        <f>INDEX(ET.region!$A$51:$M$61,MATCH(ET.county!$B41,ET.region!$A$51:$A$61,0),MATCH(ET.county!M$1,ET.region!$A$51:$M$51,0))</f>
        <v>2.1968503937007875</v>
      </c>
      <c r="N41" s="5">
        <f>INDEX(ET.region!$A$51:$M$61,MATCH(ET.county!$B41,ET.region!$A$51:$A$61,0),MATCH(ET.county!N$1,ET.region!$A$51:$M$51,0))</f>
        <v>1.55</v>
      </c>
    </row>
    <row r="42" spans="1:14" x14ac:dyDescent="0.3">
      <c r="A42" t="s">
        <v>339</v>
      </c>
      <c r="B42" t="s">
        <v>391</v>
      </c>
      <c r="C42" s="5">
        <f>INDEX(ET.region!$A$51:$M$61,MATCH(ET.county!$B42,ET.region!$A$51:$A$61,0),MATCH(ET.county!C$1,ET.region!$A$51:$M$51,0))</f>
        <v>1.3425196850393704</v>
      </c>
      <c r="D42" s="5">
        <f>INDEX(ET.region!$A$51:$M$61,MATCH(ET.county!$B42,ET.region!$A$51:$A$61,0),MATCH(ET.county!D$1,ET.region!$A$51:$M$51,0))</f>
        <v>1.7637795275590555</v>
      </c>
      <c r="E42" s="5">
        <f>INDEX(ET.region!$A$51:$M$61,MATCH(ET.county!$B42,ET.region!$A$51:$A$61,0),MATCH(ET.county!E$1,ET.region!$A$51:$M$51,0))</f>
        <v>3.0877952755905511</v>
      </c>
      <c r="F42" s="5">
        <f>INDEX(ET.region!$A$51:$M$61,MATCH(ET.county!$B42,ET.region!$A$51:$A$61,0),MATCH(ET.county!F$1,ET.region!$A$51:$M$51,0))</f>
        <v>4.4763779527559056</v>
      </c>
      <c r="G42" s="5">
        <f>INDEX(ET.region!$A$51:$M$61,MATCH(ET.county!$B42,ET.region!$A$51:$A$61,0),MATCH(ET.county!G$1,ET.region!$A$51:$M$51,0))</f>
        <v>5.8216535433070868</v>
      </c>
      <c r="H42" s="5">
        <f>INDEX(ET.region!$A$51:$M$61,MATCH(ET.county!$B42,ET.region!$A$51:$A$61,0),MATCH(ET.county!H$1,ET.region!$A$51:$M$51,0))</f>
        <v>6.4842519685039379</v>
      </c>
      <c r="I42" s="5">
        <f>INDEX(ET.region!$A$51:$M$61,MATCH(ET.county!$B42,ET.region!$A$51:$A$61,0),MATCH(ET.county!I$1,ET.region!$A$51:$M$51,0))</f>
        <v>6.8346456692913389</v>
      </c>
      <c r="J42" s="5">
        <f>INDEX(ET.region!$A$51:$M$61,MATCH(ET.county!$B42,ET.region!$A$51:$A$61,0),MATCH(ET.county!J$1,ET.region!$A$51:$M$51,0))</f>
        <v>6.1267716535433072</v>
      </c>
      <c r="K42" s="5">
        <f>INDEX(ET.region!$A$51:$M$61,MATCH(ET.county!$B42,ET.region!$A$51:$A$61,0),MATCH(ET.county!K$1,ET.region!$A$51:$M$51,0))</f>
        <v>4.5826771653543314</v>
      </c>
      <c r="L42" s="5">
        <f>INDEX(ET.region!$A$51:$M$61,MATCH(ET.county!$B42,ET.region!$A$51:$A$61,0),MATCH(ET.county!L$1,ET.region!$A$51:$M$51,0))</f>
        <v>3.246456692913386</v>
      </c>
      <c r="M42" s="5">
        <f>INDEX(ET.region!$A$51:$M$61,MATCH(ET.county!$B42,ET.region!$A$51:$A$61,0),MATCH(ET.county!M$1,ET.region!$A$51:$M$51,0))</f>
        <v>1.9488188976377951</v>
      </c>
      <c r="N42" s="5">
        <f>INDEX(ET.region!$A$51:$M$61,MATCH(ET.county!$B42,ET.region!$A$51:$A$61,0),MATCH(ET.county!N$1,ET.region!$A$51:$M$51,0))</f>
        <v>1.3181102362204726</v>
      </c>
    </row>
    <row r="43" spans="1:14" x14ac:dyDescent="0.3">
      <c r="A43" t="s">
        <v>334</v>
      </c>
      <c r="B43" t="s">
        <v>395</v>
      </c>
      <c r="C43" s="5">
        <f>INDEX(ET.region!$A$51:$M$61,MATCH(ET.county!$B43,ET.region!$A$51:$A$61,0),MATCH(ET.county!C$1,ET.region!$A$51:$M$51,0))</f>
        <v>1.5255905511811025</v>
      </c>
      <c r="D43" s="5">
        <f>INDEX(ET.region!$A$51:$M$61,MATCH(ET.county!$B43,ET.region!$A$51:$A$61,0),MATCH(ET.county!D$1,ET.region!$A$51:$M$51,0))</f>
        <v>2.0173228346456695</v>
      </c>
      <c r="E43" s="5">
        <f>INDEX(ET.region!$A$51:$M$61,MATCH(ET.county!$B43,ET.region!$A$51:$A$61,0),MATCH(ET.county!E$1,ET.region!$A$51:$M$51,0))</f>
        <v>3.4905511811023624</v>
      </c>
      <c r="F43" s="5">
        <f>INDEX(ET.region!$A$51:$M$61,MATCH(ET.county!$B43,ET.region!$A$51:$A$61,0),MATCH(ET.county!F$1,ET.region!$A$51:$M$51,0))</f>
        <v>5.0551181102362204</v>
      </c>
      <c r="G43" s="5">
        <f>INDEX(ET.region!$A$51:$M$61,MATCH(ET.county!$B43,ET.region!$A$51:$A$61,0),MATCH(ET.county!G$1,ET.region!$A$51:$M$51,0))</f>
        <v>6.4318897637795267</v>
      </c>
      <c r="H43" s="5">
        <f>INDEX(ET.region!$A$51:$M$61,MATCH(ET.county!$B43,ET.region!$A$51:$A$61,0),MATCH(ET.county!H$1,ET.region!$A$51:$M$51,0))</f>
        <v>7.0748031496063</v>
      </c>
      <c r="I43" s="5">
        <f>INDEX(ET.region!$A$51:$M$61,MATCH(ET.county!$B43,ET.region!$A$51:$A$61,0),MATCH(ET.county!I$1,ET.region!$A$51:$M$51,0))</f>
        <v>7.359448818897639</v>
      </c>
      <c r="J43" s="5">
        <f>INDEX(ET.region!$A$51:$M$61,MATCH(ET.county!$B43,ET.region!$A$51:$A$61,0),MATCH(ET.county!J$1,ET.region!$A$51:$M$51,0))</f>
        <v>6.566141732283465</v>
      </c>
      <c r="K43" s="5">
        <f>INDEX(ET.region!$A$51:$M$61,MATCH(ET.county!$B43,ET.region!$A$51:$A$61,0),MATCH(ET.county!K$1,ET.region!$A$51:$M$51,0))</f>
        <v>4.9488188976377963</v>
      </c>
      <c r="L43" s="5">
        <f>INDEX(ET.region!$A$51:$M$61,MATCH(ET.county!$B43,ET.region!$A$51:$A$61,0),MATCH(ET.county!L$1,ET.region!$A$51:$M$51,0))</f>
        <v>3.5759842519685043</v>
      </c>
      <c r="M43" s="5">
        <f>INDEX(ET.region!$A$51:$M$61,MATCH(ET.county!$B43,ET.region!$A$51:$A$61,0),MATCH(ET.county!M$1,ET.region!$A$51:$M$51,0))</f>
        <v>2.1968503937007875</v>
      </c>
      <c r="N43" s="5">
        <f>INDEX(ET.region!$A$51:$M$61,MATCH(ET.county!$B43,ET.region!$A$51:$A$61,0),MATCH(ET.county!N$1,ET.region!$A$51:$M$51,0))</f>
        <v>1.5255905511811025</v>
      </c>
    </row>
    <row r="44" spans="1:14" x14ac:dyDescent="0.3">
      <c r="A44" t="s">
        <v>328</v>
      </c>
      <c r="B44" t="s">
        <v>389</v>
      </c>
      <c r="C44" s="5">
        <f>INDEX(ET.region!$A$51:$M$61,MATCH(ET.county!$B44,ET.region!$A$51:$A$61,0),MATCH(ET.county!C$1,ET.region!$A$51:$M$51,0))</f>
        <v>1.562204724409449</v>
      </c>
      <c r="D44" s="5">
        <f>INDEX(ET.region!$A$51:$M$61,MATCH(ET.county!$B44,ET.region!$A$51:$A$61,0),MATCH(ET.county!D$1,ET.region!$A$51:$M$51,0))</f>
        <v>2.0503937007874016</v>
      </c>
      <c r="E44" s="5">
        <f>INDEX(ET.region!$A$51:$M$61,MATCH(ET.county!$B44,ET.region!$A$51:$A$61,0),MATCH(ET.county!E$1,ET.region!$A$51:$M$51,0))</f>
        <v>3.5027559055118114</v>
      </c>
      <c r="F44" s="5">
        <f>INDEX(ET.region!$A$51:$M$61,MATCH(ET.county!$B44,ET.region!$A$51:$A$61,0),MATCH(ET.county!F$1,ET.region!$A$51:$M$51,0))</f>
        <v>4.9370078740157481</v>
      </c>
      <c r="G44" s="5">
        <f>INDEX(ET.region!$A$51:$M$61,MATCH(ET.county!$B44,ET.region!$A$51:$A$61,0),MATCH(ET.county!G$1,ET.region!$A$51:$M$51,0))</f>
        <v>6.2122047244094487</v>
      </c>
      <c r="H44" s="5">
        <f>INDEX(ET.region!$A$51:$M$61,MATCH(ET.county!$B44,ET.region!$A$51:$A$61,0),MATCH(ET.county!H$1,ET.region!$A$51:$M$51,0))</f>
        <v>6.6968503937007879</v>
      </c>
      <c r="I44" s="5">
        <f>INDEX(ET.region!$A$51:$M$61,MATCH(ET.county!$B44,ET.region!$A$51:$A$61,0),MATCH(ET.county!I$1,ET.region!$A$51:$M$51,0))</f>
        <v>6.9444881889763792</v>
      </c>
      <c r="J44" s="5">
        <f>INDEX(ET.region!$A$51:$M$61,MATCH(ET.county!$B44,ET.region!$A$51:$A$61,0),MATCH(ET.county!J$1,ET.region!$A$51:$M$51,0))</f>
        <v>6.2122047244094487</v>
      </c>
      <c r="K44" s="5">
        <f>INDEX(ET.region!$A$51:$M$61,MATCH(ET.county!$B44,ET.region!$A$51:$A$61,0),MATCH(ET.county!K$1,ET.region!$A$51:$M$51,0))</f>
        <v>4.7598425196850407</v>
      </c>
      <c r="L44" s="5">
        <f>INDEX(ET.region!$A$51:$M$61,MATCH(ET.county!$B44,ET.region!$A$51:$A$61,0),MATCH(ET.county!L$1,ET.region!$A$51:$M$51,0))</f>
        <v>3.4417322834645669</v>
      </c>
      <c r="M44" s="5">
        <f>INDEX(ET.region!$A$51:$M$61,MATCH(ET.county!$B44,ET.region!$A$51:$A$61,0),MATCH(ET.county!M$1,ET.region!$A$51:$M$51,0))</f>
        <v>2.1496062992125986</v>
      </c>
      <c r="N44" s="5">
        <f>INDEX(ET.region!$A$51:$M$61,MATCH(ET.county!$B44,ET.region!$A$51:$A$61,0),MATCH(ET.county!N$1,ET.region!$A$51:$M$51,0))</f>
        <v>1.5133858267716536</v>
      </c>
    </row>
    <row r="45" spans="1:14" x14ac:dyDescent="0.3">
      <c r="A45" t="s">
        <v>319</v>
      </c>
      <c r="B45" t="s">
        <v>394</v>
      </c>
      <c r="C45" s="5">
        <f>INDEX(ET.region!$A$51:$M$61,MATCH(ET.county!$B45,ET.region!$A$51:$A$61,0),MATCH(ET.county!C$1,ET.region!$A$51:$M$51,0))</f>
        <v>1.3913385826771654</v>
      </c>
      <c r="D45" s="5">
        <f>INDEX(ET.region!$A$51:$M$61,MATCH(ET.county!$B45,ET.region!$A$51:$A$61,0),MATCH(ET.county!D$1,ET.region!$A$51:$M$51,0))</f>
        <v>1.7748031496062995</v>
      </c>
      <c r="E45" s="5">
        <f>INDEX(ET.region!$A$51:$M$61,MATCH(ET.county!$B45,ET.region!$A$51:$A$61,0),MATCH(ET.county!E$1,ET.region!$A$51:$M$51,0))</f>
        <v>3.0633858267716536</v>
      </c>
      <c r="F45" s="5">
        <f>INDEX(ET.region!$A$51:$M$61,MATCH(ET.county!$B45,ET.region!$A$51:$A$61,0),MATCH(ET.county!F$1,ET.region!$A$51:$M$51,0))</f>
        <v>4.4173228346456694</v>
      </c>
      <c r="G45" s="5">
        <f>INDEX(ET.region!$A$51:$M$61,MATCH(ET.county!$B45,ET.region!$A$51:$A$61,0),MATCH(ET.county!G$1,ET.region!$A$51:$M$51,0))</f>
        <v>5.7362204724409454</v>
      </c>
      <c r="H45" s="5">
        <f>INDEX(ET.region!$A$51:$M$61,MATCH(ET.county!$B45,ET.region!$A$51:$A$61,0),MATCH(ET.county!H$1,ET.region!$A$51:$M$51,0))</f>
        <v>6.3070866141732287</v>
      </c>
      <c r="I45" s="5">
        <f>INDEX(ET.region!$A$51:$M$61,MATCH(ET.county!$B45,ET.region!$A$51:$A$61,0),MATCH(ET.county!I$1,ET.region!$A$51:$M$51,0))</f>
        <v>6.5417322834645679</v>
      </c>
      <c r="J45" s="5">
        <f>INDEX(ET.region!$A$51:$M$61,MATCH(ET.county!$B45,ET.region!$A$51:$A$61,0),MATCH(ET.county!J$1,ET.region!$A$51:$M$51,0))</f>
        <v>5.9314960629921272</v>
      </c>
      <c r="K45" s="5">
        <f>INDEX(ET.region!$A$51:$M$61,MATCH(ET.county!$B45,ET.region!$A$51:$A$61,0),MATCH(ET.county!K$1,ET.region!$A$51:$M$51,0))</f>
        <v>4.5118110236220472</v>
      </c>
      <c r="L45" s="5">
        <f>INDEX(ET.region!$A$51:$M$61,MATCH(ET.county!$B45,ET.region!$A$51:$A$61,0),MATCH(ET.county!L$1,ET.region!$A$51:$M$51,0))</f>
        <v>3.270866141732284</v>
      </c>
      <c r="M45" s="5">
        <f>INDEX(ET.region!$A$51:$M$61,MATCH(ET.county!$B45,ET.region!$A$51:$A$61,0),MATCH(ET.county!M$1,ET.region!$A$51:$M$51,0))</f>
        <v>1.9724409448818898</v>
      </c>
      <c r="N45" s="5">
        <f>INDEX(ET.region!$A$51:$M$61,MATCH(ET.county!$B45,ET.region!$A$51:$A$61,0),MATCH(ET.county!N$1,ET.region!$A$51:$M$51,0))</f>
        <v>1.3547244094488189</v>
      </c>
    </row>
    <row r="46" spans="1:14" x14ac:dyDescent="0.3">
      <c r="A46" t="s">
        <v>142</v>
      </c>
      <c r="B46" t="s">
        <v>706</v>
      </c>
      <c r="C46" s="5">
        <f>INDEX(ET.region!$A$51:$M$61,MATCH(ET.county!$B46,ET.region!$A$51:$A$61,0),MATCH(ET.county!C$1,ET.region!$A$51:$M$51,0))</f>
        <v>1.3913385826771654</v>
      </c>
      <c r="D46" s="5">
        <f>INDEX(ET.region!$A$51:$M$61,MATCH(ET.county!$B46,ET.region!$A$51:$A$61,0),MATCH(ET.county!D$1,ET.region!$A$51:$M$51,0))</f>
        <v>1.7748031496062995</v>
      </c>
      <c r="E46" s="5">
        <f>INDEX(ET.region!$A$51:$M$61,MATCH(ET.county!$B46,ET.region!$A$51:$A$61,0),MATCH(ET.county!E$1,ET.region!$A$51:$M$51,0))</f>
        <v>3.0633858267716536</v>
      </c>
      <c r="F46" s="5">
        <f>INDEX(ET.region!$A$51:$M$61,MATCH(ET.county!$B46,ET.region!$A$51:$A$61,0),MATCH(ET.county!F$1,ET.region!$A$51:$M$51,0))</f>
        <v>4.4173228346456694</v>
      </c>
      <c r="G46" s="5">
        <f>INDEX(ET.region!$A$51:$M$61,MATCH(ET.county!$B46,ET.region!$A$51:$A$61,0),MATCH(ET.county!G$1,ET.region!$A$51:$M$51,0))</f>
        <v>5.7362204724409454</v>
      </c>
      <c r="H46" s="5">
        <f>INDEX(ET.region!$A$51:$M$61,MATCH(ET.county!$B46,ET.region!$A$51:$A$61,0),MATCH(ET.county!H$1,ET.region!$A$51:$M$51,0))</f>
        <v>6.3070866141732287</v>
      </c>
      <c r="I46" s="5">
        <f>INDEX(ET.region!$A$51:$M$61,MATCH(ET.county!$B46,ET.region!$A$51:$A$61,0),MATCH(ET.county!I$1,ET.region!$A$51:$M$51,0))</f>
        <v>6.5417322834645679</v>
      </c>
      <c r="J46" s="5">
        <f>INDEX(ET.region!$A$51:$M$61,MATCH(ET.county!$B46,ET.region!$A$51:$A$61,0),MATCH(ET.county!J$1,ET.region!$A$51:$M$51,0))</f>
        <v>5.9314960629921272</v>
      </c>
      <c r="K46" s="5">
        <f>INDEX(ET.region!$A$51:$M$61,MATCH(ET.county!$B46,ET.region!$A$51:$A$61,0),MATCH(ET.county!K$1,ET.region!$A$51:$M$51,0))</f>
        <v>4.5118110236220472</v>
      </c>
      <c r="L46" s="5">
        <f>INDEX(ET.region!$A$51:$M$61,MATCH(ET.county!$B46,ET.region!$A$51:$A$61,0),MATCH(ET.county!L$1,ET.region!$A$51:$M$51,0))</f>
        <v>3.270866141732284</v>
      </c>
      <c r="M46" s="5">
        <f>INDEX(ET.region!$A$51:$M$61,MATCH(ET.county!$B46,ET.region!$A$51:$A$61,0),MATCH(ET.county!M$1,ET.region!$A$51:$M$51,0))</f>
        <v>1.9724409448818898</v>
      </c>
      <c r="N46" s="5">
        <f>INDEX(ET.region!$A$51:$M$61,MATCH(ET.county!$B46,ET.region!$A$51:$A$61,0),MATCH(ET.county!N$1,ET.region!$A$51:$M$51,0))</f>
        <v>1.3547244094488189</v>
      </c>
    </row>
    <row r="47" spans="1:14" x14ac:dyDescent="0.3">
      <c r="A47" t="s">
        <v>357</v>
      </c>
      <c r="B47" t="s">
        <v>395</v>
      </c>
      <c r="C47" s="5">
        <f>INDEX(ET.region!$A$51:$M$61,MATCH(ET.county!$B47,ET.region!$A$51:$A$61,0),MATCH(ET.county!C$1,ET.region!$A$51:$M$51,0))</f>
        <v>1.5255905511811025</v>
      </c>
      <c r="D47" s="5">
        <f>INDEX(ET.region!$A$51:$M$61,MATCH(ET.county!$B47,ET.region!$A$51:$A$61,0),MATCH(ET.county!D$1,ET.region!$A$51:$M$51,0))</f>
        <v>2.0173228346456695</v>
      </c>
      <c r="E47" s="5">
        <f>INDEX(ET.region!$A$51:$M$61,MATCH(ET.county!$B47,ET.region!$A$51:$A$61,0),MATCH(ET.county!E$1,ET.region!$A$51:$M$51,0))</f>
        <v>3.4905511811023624</v>
      </c>
      <c r="F47" s="5">
        <f>INDEX(ET.region!$A$51:$M$61,MATCH(ET.county!$B47,ET.region!$A$51:$A$61,0),MATCH(ET.county!F$1,ET.region!$A$51:$M$51,0))</f>
        <v>5.0551181102362204</v>
      </c>
      <c r="G47" s="5">
        <f>INDEX(ET.region!$A$51:$M$61,MATCH(ET.county!$B47,ET.region!$A$51:$A$61,0),MATCH(ET.county!G$1,ET.region!$A$51:$M$51,0))</f>
        <v>6.4318897637795267</v>
      </c>
      <c r="H47" s="5">
        <f>INDEX(ET.region!$A$51:$M$61,MATCH(ET.county!$B47,ET.region!$A$51:$A$61,0),MATCH(ET.county!H$1,ET.region!$A$51:$M$51,0))</f>
        <v>7.0748031496063</v>
      </c>
      <c r="I47" s="5">
        <f>INDEX(ET.region!$A$51:$M$61,MATCH(ET.county!$B47,ET.region!$A$51:$A$61,0),MATCH(ET.county!I$1,ET.region!$A$51:$M$51,0))</f>
        <v>7.359448818897639</v>
      </c>
      <c r="J47" s="5">
        <f>INDEX(ET.region!$A$51:$M$61,MATCH(ET.county!$B47,ET.region!$A$51:$A$61,0),MATCH(ET.county!J$1,ET.region!$A$51:$M$51,0))</f>
        <v>6.566141732283465</v>
      </c>
      <c r="K47" s="5">
        <f>INDEX(ET.region!$A$51:$M$61,MATCH(ET.county!$B47,ET.region!$A$51:$A$61,0),MATCH(ET.county!K$1,ET.region!$A$51:$M$51,0))</f>
        <v>4.9488188976377963</v>
      </c>
      <c r="L47" s="5">
        <f>INDEX(ET.region!$A$51:$M$61,MATCH(ET.county!$B47,ET.region!$A$51:$A$61,0),MATCH(ET.county!L$1,ET.region!$A$51:$M$51,0))</f>
        <v>3.5759842519685043</v>
      </c>
      <c r="M47" s="5">
        <f>INDEX(ET.region!$A$51:$M$61,MATCH(ET.county!$B47,ET.region!$A$51:$A$61,0),MATCH(ET.county!M$1,ET.region!$A$51:$M$51,0))</f>
        <v>2.1968503937007875</v>
      </c>
      <c r="N47" s="5">
        <f>INDEX(ET.region!$A$51:$M$61,MATCH(ET.county!$B47,ET.region!$A$51:$A$61,0),MATCH(ET.county!N$1,ET.region!$A$51:$M$51,0))</f>
        <v>1.5255905511811025</v>
      </c>
    </row>
    <row r="48" spans="1:14" x14ac:dyDescent="0.3">
      <c r="A48" t="s">
        <v>363</v>
      </c>
      <c r="B48" t="s">
        <v>390</v>
      </c>
      <c r="C48" s="5">
        <f>INDEX(ET.region!$A$51:$M$61,MATCH(ET.county!$B48,ET.region!$A$51:$A$61,0),MATCH(ET.county!C$1,ET.region!$A$51:$M$51,0))</f>
        <v>1.5011811023622048</v>
      </c>
      <c r="D48" s="5">
        <f>INDEX(ET.region!$A$51:$M$61,MATCH(ET.county!$B48,ET.region!$A$51:$A$61,0),MATCH(ET.county!D$1,ET.region!$A$51:$M$51,0))</f>
        <v>1.9622047244094489</v>
      </c>
      <c r="E48" s="5">
        <f>INDEX(ET.region!$A$51:$M$61,MATCH(ET.county!$B48,ET.region!$A$51:$A$61,0),MATCH(ET.county!E$1,ET.region!$A$51:$M$51,0))</f>
        <v>3.4051181102362205</v>
      </c>
      <c r="F48" s="5">
        <f>INDEX(ET.region!$A$51:$M$61,MATCH(ET.county!$B48,ET.region!$A$51:$A$61,0),MATCH(ET.county!F$1,ET.region!$A$51:$M$51,0))</f>
        <v>4.8661417322834648</v>
      </c>
      <c r="G48" s="5">
        <f>INDEX(ET.region!$A$51:$M$61,MATCH(ET.county!$B48,ET.region!$A$51:$A$61,0),MATCH(ET.county!G$1,ET.region!$A$51:$M$51,0))</f>
        <v>6.1755905511811022</v>
      </c>
      <c r="H48" s="5">
        <f>INDEX(ET.region!$A$51:$M$61,MATCH(ET.county!$B48,ET.region!$A$51:$A$61,0),MATCH(ET.county!H$1,ET.region!$A$51:$M$51,0))</f>
        <v>6.7440944881889759</v>
      </c>
      <c r="I48" s="5">
        <f>INDEX(ET.region!$A$51:$M$61,MATCH(ET.county!$B48,ET.region!$A$51:$A$61,0),MATCH(ET.county!I$1,ET.region!$A$51:$M$51,0))</f>
        <v>7.0055118110236227</v>
      </c>
      <c r="J48" s="5">
        <f>INDEX(ET.region!$A$51:$M$61,MATCH(ET.county!$B48,ET.region!$A$51:$A$61,0),MATCH(ET.county!J$1,ET.region!$A$51:$M$51,0))</f>
        <v>6.2244094488188981</v>
      </c>
      <c r="K48" s="5">
        <f>INDEX(ET.region!$A$51:$M$61,MATCH(ET.county!$B48,ET.region!$A$51:$A$61,0),MATCH(ET.county!K$1,ET.region!$A$51:$M$51,0))</f>
        <v>4.771653543307087</v>
      </c>
      <c r="L48" s="5">
        <f>INDEX(ET.region!$A$51:$M$61,MATCH(ET.county!$B48,ET.region!$A$51:$A$61,0),MATCH(ET.county!L$1,ET.region!$A$51:$M$51,0))</f>
        <v>3.4051181102362205</v>
      </c>
      <c r="M48" s="5">
        <f>INDEX(ET.region!$A$51:$M$61,MATCH(ET.county!$B48,ET.region!$A$51:$A$61,0),MATCH(ET.county!M$1,ET.region!$A$51:$M$51,0))</f>
        <v>2.0905511811023625</v>
      </c>
      <c r="N48" s="5">
        <f>INDEX(ET.region!$A$51:$M$61,MATCH(ET.county!$B48,ET.region!$A$51:$A$61,0),MATCH(ET.county!N$1,ET.region!$A$51:$M$51,0))</f>
        <v>1.4889763779527558</v>
      </c>
    </row>
    <row r="49" spans="1:14" x14ac:dyDescent="0.3">
      <c r="A49" t="s">
        <v>362</v>
      </c>
      <c r="B49" t="s">
        <v>386</v>
      </c>
      <c r="C49" s="5">
        <f>INDEX(ET.region!$A$51:$M$61,MATCH(ET.county!$B49,ET.region!$A$51:$A$61,0),MATCH(ET.county!C$1,ET.region!$A$51:$M$51,0))</f>
        <v>1.581</v>
      </c>
      <c r="D49" s="5">
        <f>INDEX(ET.region!$A$51:$M$61,MATCH(ET.county!$B49,ET.region!$A$51:$A$61,0),MATCH(ET.county!D$1,ET.region!$A$51:$M$51,0))</f>
        <v>1.9600000000000002</v>
      </c>
      <c r="E49" s="5">
        <f>INDEX(ET.region!$A$51:$M$61,MATCH(ET.county!$B49,ET.region!$A$51:$A$61,0),MATCH(ET.county!E$1,ET.region!$A$51:$M$51,0))</f>
        <v>3.2549999999999999</v>
      </c>
      <c r="F49" s="5">
        <f>INDEX(ET.region!$A$51:$M$61,MATCH(ET.county!$B49,ET.region!$A$51:$A$61,0),MATCH(ET.county!F$1,ET.region!$A$51:$M$51,0))</f>
        <v>4.59</v>
      </c>
      <c r="G49" s="5">
        <f>INDEX(ET.region!$A$51:$M$61,MATCH(ET.county!$B49,ET.region!$A$51:$A$61,0),MATCH(ET.county!G$1,ET.region!$A$51:$M$51,0))</f>
        <v>5.7969999999999997</v>
      </c>
      <c r="H49" s="5">
        <f>INDEX(ET.region!$A$51:$M$61,MATCH(ET.county!$B49,ET.region!$A$51:$A$61,0),MATCH(ET.county!H$1,ET.region!$A$51:$M$51,0))</f>
        <v>6.2399999999999993</v>
      </c>
      <c r="I49" s="5">
        <f>INDEX(ET.region!$A$51:$M$61,MATCH(ET.county!$B49,ET.region!$A$51:$A$61,0),MATCH(ET.county!I$1,ET.region!$A$51:$M$51,0))</f>
        <v>6.4790000000000001</v>
      </c>
      <c r="J49" s="5">
        <f>INDEX(ET.region!$A$51:$M$61,MATCH(ET.county!$B49,ET.region!$A$51:$A$61,0),MATCH(ET.county!J$1,ET.region!$A$51:$M$51,0))</f>
        <v>5.7350000000000003</v>
      </c>
      <c r="K49" s="5">
        <f>INDEX(ET.region!$A$51:$M$61,MATCH(ET.county!$B49,ET.region!$A$51:$A$61,0),MATCH(ET.county!K$1,ET.region!$A$51:$M$51,0))</f>
        <v>4.38</v>
      </c>
      <c r="L49" s="5">
        <f>INDEX(ET.region!$A$51:$M$61,MATCH(ET.county!$B49,ET.region!$A$51:$A$61,0),MATCH(ET.county!L$1,ET.region!$A$51:$M$51,0))</f>
        <v>3.2549999999999999</v>
      </c>
      <c r="M49" s="5">
        <f>INDEX(ET.region!$A$51:$M$61,MATCH(ET.county!$B49,ET.region!$A$51:$A$61,0),MATCH(ET.county!M$1,ET.region!$A$51:$M$51,0))</f>
        <v>2.0700000000000003</v>
      </c>
      <c r="N49" s="5">
        <f>INDEX(ET.region!$A$51:$M$61,MATCH(ET.county!$B49,ET.region!$A$51:$A$61,0),MATCH(ET.county!N$1,ET.region!$A$51:$M$51,0))</f>
        <v>1.55</v>
      </c>
    </row>
    <row r="50" spans="1:14" x14ac:dyDescent="0.3">
      <c r="A50" t="s">
        <v>371</v>
      </c>
      <c r="B50" t="s">
        <v>392</v>
      </c>
      <c r="C50" s="5">
        <f>INDEX(ET.region!$A$51:$M$61,MATCH(ET.county!$B50,ET.region!$A$51:$A$61,0),MATCH(ET.county!C$1,ET.region!$A$51:$M$51,0))</f>
        <v>1.4889763779527558</v>
      </c>
      <c r="D50" s="5">
        <f>INDEX(ET.region!$A$51:$M$61,MATCH(ET.county!$B50,ET.region!$A$51:$A$61,0),MATCH(ET.county!D$1,ET.region!$A$51:$M$51,0))</f>
        <v>1.9401574803149606</v>
      </c>
      <c r="E50" s="5">
        <f>INDEX(ET.region!$A$51:$M$61,MATCH(ET.county!$B50,ET.region!$A$51:$A$61,0),MATCH(ET.county!E$1,ET.region!$A$51:$M$51,0))</f>
        <v>3.2952755905511819</v>
      </c>
      <c r="F50" s="5">
        <f>INDEX(ET.region!$A$51:$M$61,MATCH(ET.county!$B50,ET.region!$A$51:$A$61,0),MATCH(ET.county!F$1,ET.region!$A$51:$M$51,0))</f>
        <v>4.7007874015748037</v>
      </c>
      <c r="G50" s="5">
        <f>INDEX(ET.region!$A$51:$M$61,MATCH(ET.county!$B50,ET.region!$A$51:$A$61,0),MATCH(ET.county!G$1,ET.region!$A$51:$M$51,0))</f>
        <v>6.0169291338582678</v>
      </c>
      <c r="H50" s="5">
        <f>INDEX(ET.region!$A$51:$M$61,MATCH(ET.county!$B50,ET.region!$A$51:$A$61,0),MATCH(ET.county!H$1,ET.region!$A$51:$M$51,0))</f>
        <v>6.6496062992125982</v>
      </c>
      <c r="I50" s="5">
        <f>INDEX(ET.region!$A$51:$M$61,MATCH(ET.county!$B50,ET.region!$A$51:$A$61,0),MATCH(ET.county!I$1,ET.region!$A$51:$M$51,0))</f>
        <v>6.9322834645669289</v>
      </c>
      <c r="J50" s="5">
        <f>INDEX(ET.region!$A$51:$M$61,MATCH(ET.county!$B50,ET.region!$A$51:$A$61,0),MATCH(ET.county!J$1,ET.region!$A$51:$M$51,0))</f>
        <v>6.1755905511811022</v>
      </c>
      <c r="K50" s="5">
        <f>INDEX(ET.region!$A$51:$M$61,MATCH(ET.county!$B50,ET.region!$A$51:$A$61,0),MATCH(ET.county!K$1,ET.region!$A$51:$M$51,0))</f>
        <v>4.7125984251968509</v>
      </c>
      <c r="L50" s="5">
        <f>INDEX(ET.region!$A$51:$M$61,MATCH(ET.county!$B50,ET.region!$A$51:$A$61,0),MATCH(ET.county!L$1,ET.region!$A$51:$M$51,0))</f>
        <v>3.4173228346456694</v>
      </c>
      <c r="M50" s="5">
        <f>INDEX(ET.region!$A$51:$M$61,MATCH(ET.county!$B50,ET.region!$A$51:$A$61,0),MATCH(ET.county!M$1,ET.region!$A$51:$M$51,0))</f>
        <v>2.1141732283464569</v>
      </c>
      <c r="N50" s="5">
        <f>INDEX(ET.region!$A$51:$M$61,MATCH(ET.county!$B50,ET.region!$A$51:$A$61,0),MATCH(ET.county!N$1,ET.region!$A$51:$M$51,0))</f>
        <v>1.4523622047244096</v>
      </c>
    </row>
    <row r="51" spans="1:14" x14ac:dyDescent="0.3">
      <c r="A51" t="s">
        <v>149</v>
      </c>
      <c r="B51" t="s">
        <v>394</v>
      </c>
      <c r="C51" s="5">
        <f>INDEX(ET.region!$A$51:$M$61,MATCH(ET.county!$B51,ET.region!$A$51:$A$61,0),MATCH(ET.county!C$1,ET.region!$A$51:$M$51,0))</f>
        <v>1.3913385826771654</v>
      </c>
      <c r="D51" s="5">
        <f>INDEX(ET.region!$A$51:$M$61,MATCH(ET.county!$B51,ET.region!$A$51:$A$61,0),MATCH(ET.county!D$1,ET.region!$A$51:$M$51,0))</f>
        <v>1.7748031496062995</v>
      </c>
      <c r="E51" s="5">
        <f>INDEX(ET.region!$A$51:$M$61,MATCH(ET.county!$B51,ET.region!$A$51:$A$61,0),MATCH(ET.county!E$1,ET.region!$A$51:$M$51,0))</f>
        <v>3.0633858267716536</v>
      </c>
      <c r="F51" s="5">
        <f>INDEX(ET.region!$A$51:$M$61,MATCH(ET.county!$B51,ET.region!$A$51:$A$61,0),MATCH(ET.county!F$1,ET.region!$A$51:$M$51,0))</f>
        <v>4.4173228346456694</v>
      </c>
      <c r="G51" s="5">
        <f>INDEX(ET.region!$A$51:$M$61,MATCH(ET.county!$B51,ET.region!$A$51:$A$61,0),MATCH(ET.county!G$1,ET.region!$A$51:$M$51,0))</f>
        <v>5.7362204724409454</v>
      </c>
      <c r="H51" s="5">
        <f>INDEX(ET.region!$A$51:$M$61,MATCH(ET.county!$B51,ET.region!$A$51:$A$61,0),MATCH(ET.county!H$1,ET.region!$A$51:$M$51,0))</f>
        <v>6.3070866141732287</v>
      </c>
      <c r="I51" s="5">
        <f>INDEX(ET.region!$A$51:$M$61,MATCH(ET.county!$B51,ET.region!$A$51:$A$61,0),MATCH(ET.county!I$1,ET.region!$A$51:$M$51,0))</f>
        <v>6.5417322834645679</v>
      </c>
      <c r="J51" s="5">
        <f>INDEX(ET.region!$A$51:$M$61,MATCH(ET.county!$B51,ET.region!$A$51:$A$61,0),MATCH(ET.county!J$1,ET.region!$A$51:$M$51,0))</f>
        <v>5.9314960629921272</v>
      </c>
      <c r="K51" s="5">
        <f>INDEX(ET.region!$A$51:$M$61,MATCH(ET.county!$B51,ET.region!$A$51:$A$61,0),MATCH(ET.county!K$1,ET.region!$A$51:$M$51,0))</f>
        <v>4.5118110236220472</v>
      </c>
      <c r="L51" s="5">
        <f>INDEX(ET.region!$A$51:$M$61,MATCH(ET.county!$B51,ET.region!$A$51:$A$61,0),MATCH(ET.county!L$1,ET.region!$A$51:$M$51,0))</f>
        <v>3.270866141732284</v>
      </c>
      <c r="M51" s="5">
        <f>INDEX(ET.region!$A$51:$M$61,MATCH(ET.county!$B51,ET.region!$A$51:$A$61,0),MATCH(ET.county!M$1,ET.region!$A$51:$M$51,0))</f>
        <v>1.9724409448818898</v>
      </c>
      <c r="N51" s="5">
        <f>INDEX(ET.region!$A$51:$M$61,MATCH(ET.county!$B51,ET.region!$A$51:$A$61,0),MATCH(ET.county!N$1,ET.region!$A$51:$M$51,0))</f>
        <v>1.3547244094488189</v>
      </c>
    </row>
    <row r="52" spans="1:14" x14ac:dyDescent="0.3">
      <c r="A52" t="s">
        <v>323</v>
      </c>
      <c r="B52" t="s">
        <v>389</v>
      </c>
      <c r="C52" s="5">
        <f>INDEX(ET.region!$A$51:$M$61,MATCH(ET.county!$B52,ET.region!$A$51:$A$61,0),MATCH(ET.county!C$1,ET.region!$A$51:$M$51,0))</f>
        <v>1.562204724409449</v>
      </c>
      <c r="D52" s="5">
        <f>INDEX(ET.region!$A$51:$M$61,MATCH(ET.county!$B52,ET.region!$A$51:$A$61,0),MATCH(ET.county!D$1,ET.region!$A$51:$M$51,0))</f>
        <v>2.0503937007874016</v>
      </c>
      <c r="E52" s="5">
        <f>INDEX(ET.region!$A$51:$M$61,MATCH(ET.county!$B52,ET.region!$A$51:$A$61,0),MATCH(ET.county!E$1,ET.region!$A$51:$M$51,0))</f>
        <v>3.5027559055118114</v>
      </c>
      <c r="F52" s="5">
        <f>INDEX(ET.region!$A$51:$M$61,MATCH(ET.county!$B52,ET.region!$A$51:$A$61,0),MATCH(ET.county!F$1,ET.region!$A$51:$M$51,0))</f>
        <v>4.9370078740157481</v>
      </c>
      <c r="G52" s="5">
        <f>INDEX(ET.region!$A$51:$M$61,MATCH(ET.county!$B52,ET.region!$A$51:$A$61,0),MATCH(ET.county!G$1,ET.region!$A$51:$M$51,0))</f>
        <v>6.2122047244094487</v>
      </c>
      <c r="H52" s="5">
        <f>INDEX(ET.region!$A$51:$M$61,MATCH(ET.county!$B52,ET.region!$A$51:$A$61,0),MATCH(ET.county!H$1,ET.region!$A$51:$M$51,0))</f>
        <v>6.6968503937007879</v>
      </c>
      <c r="I52" s="5">
        <f>INDEX(ET.region!$A$51:$M$61,MATCH(ET.county!$B52,ET.region!$A$51:$A$61,0),MATCH(ET.county!I$1,ET.region!$A$51:$M$51,0))</f>
        <v>6.9444881889763792</v>
      </c>
      <c r="J52" s="5">
        <f>INDEX(ET.region!$A$51:$M$61,MATCH(ET.county!$B52,ET.region!$A$51:$A$61,0),MATCH(ET.county!J$1,ET.region!$A$51:$M$51,0))</f>
        <v>6.2122047244094487</v>
      </c>
      <c r="K52" s="5">
        <f>INDEX(ET.region!$A$51:$M$61,MATCH(ET.county!$B52,ET.region!$A$51:$A$61,0),MATCH(ET.county!K$1,ET.region!$A$51:$M$51,0))</f>
        <v>4.7598425196850407</v>
      </c>
      <c r="L52" s="5">
        <f>INDEX(ET.region!$A$51:$M$61,MATCH(ET.county!$B52,ET.region!$A$51:$A$61,0),MATCH(ET.county!L$1,ET.region!$A$51:$M$51,0))</f>
        <v>3.4417322834645669</v>
      </c>
      <c r="M52" s="5">
        <f>INDEX(ET.region!$A$51:$M$61,MATCH(ET.county!$B52,ET.region!$A$51:$A$61,0),MATCH(ET.county!M$1,ET.region!$A$51:$M$51,0))</f>
        <v>2.1496062992125986</v>
      </c>
      <c r="N52" s="5">
        <f>INDEX(ET.region!$A$51:$M$61,MATCH(ET.county!$B52,ET.region!$A$51:$A$61,0),MATCH(ET.county!N$1,ET.region!$A$51:$M$51,0))</f>
        <v>1.5133858267716536</v>
      </c>
    </row>
    <row r="53" spans="1:14" x14ac:dyDescent="0.3">
      <c r="A53" t="s">
        <v>375</v>
      </c>
      <c r="B53" t="s">
        <v>386</v>
      </c>
      <c r="C53" s="5">
        <f>INDEX(ET.region!$A$51:$M$61,MATCH(ET.county!$B53,ET.region!$A$51:$A$61,0),MATCH(ET.county!C$1,ET.region!$A$51:$M$51,0))</f>
        <v>1.581</v>
      </c>
      <c r="D53" s="5">
        <f>INDEX(ET.region!$A$51:$M$61,MATCH(ET.county!$B53,ET.region!$A$51:$A$61,0),MATCH(ET.county!D$1,ET.region!$A$51:$M$51,0))</f>
        <v>1.9600000000000002</v>
      </c>
      <c r="E53" s="5">
        <f>INDEX(ET.region!$A$51:$M$61,MATCH(ET.county!$B53,ET.region!$A$51:$A$61,0),MATCH(ET.county!E$1,ET.region!$A$51:$M$51,0))</f>
        <v>3.2549999999999999</v>
      </c>
      <c r="F53" s="5">
        <f>INDEX(ET.region!$A$51:$M$61,MATCH(ET.county!$B53,ET.region!$A$51:$A$61,0),MATCH(ET.county!F$1,ET.region!$A$51:$M$51,0))</f>
        <v>4.59</v>
      </c>
      <c r="G53" s="5">
        <f>INDEX(ET.region!$A$51:$M$61,MATCH(ET.county!$B53,ET.region!$A$51:$A$61,0),MATCH(ET.county!G$1,ET.region!$A$51:$M$51,0))</f>
        <v>5.7969999999999997</v>
      </c>
      <c r="H53" s="5">
        <f>INDEX(ET.region!$A$51:$M$61,MATCH(ET.county!$B53,ET.region!$A$51:$A$61,0),MATCH(ET.county!H$1,ET.region!$A$51:$M$51,0))</f>
        <v>6.2399999999999993</v>
      </c>
      <c r="I53" s="5">
        <f>INDEX(ET.region!$A$51:$M$61,MATCH(ET.county!$B53,ET.region!$A$51:$A$61,0),MATCH(ET.county!I$1,ET.region!$A$51:$M$51,0))</f>
        <v>6.4790000000000001</v>
      </c>
      <c r="J53" s="5">
        <f>INDEX(ET.region!$A$51:$M$61,MATCH(ET.county!$B53,ET.region!$A$51:$A$61,0),MATCH(ET.county!J$1,ET.region!$A$51:$M$51,0))</f>
        <v>5.7350000000000003</v>
      </c>
      <c r="K53" s="5">
        <f>INDEX(ET.region!$A$51:$M$61,MATCH(ET.county!$B53,ET.region!$A$51:$A$61,0),MATCH(ET.county!K$1,ET.region!$A$51:$M$51,0))</f>
        <v>4.38</v>
      </c>
      <c r="L53" s="5">
        <f>INDEX(ET.region!$A$51:$M$61,MATCH(ET.county!$B53,ET.region!$A$51:$A$61,0),MATCH(ET.county!L$1,ET.region!$A$51:$M$51,0))</f>
        <v>3.2549999999999999</v>
      </c>
      <c r="M53" s="5">
        <f>INDEX(ET.region!$A$51:$M$61,MATCH(ET.county!$B53,ET.region!$A$51:$A$61,0),MATCH(ET.county!M$1,ET.region!$A$51:$M$51,0))</f>
        <v>2.0700000000000003</v>
      </c>
      <c r="N53" s="5">
        <f>INDEX(ET.region!$A$51:$M$61,MATCH(ET.county!$B53,ET.region!$A$51:$A$61,0),MATCH(ET.county!N$1,ET.region!$A$51:$M$51,0))</f>
        <v>1.55</v>
      </c>
    </row>
    <row r="54" spans="1:14" x14ac:dyDescent="0.3">
      <c r="A54" t="s">
        <v>368</v>
      </c>
      <c r="B54" t="s">
        <v>389</v>
      </c>
      <c r="C54" s="5">
        <f>INDEX(ET.region!$A$51:$M$61,MATCH(ET.county!$B54,ET.region!$A$51:$A$61,0),MATCH(ET.county!C$1,ET.region!$A$51:$M$51,0))</f>
        <v>1.562204724409449</v>
      </c>
      <c r="D54" s="5">
        <f>INDEX(ET.region!$A$51:$M$61,MATCH(ET.county!$B54,ET.region!$A$51:$A$61,0),MATCH(ET.county!D$1,ET.region!$A$51:$M$51,0))</f>
        <v>2.0503937007874016</v>
      </c>
      <c r="E54" s="5">
        <f>INDEX(ET.region!$A$51:$M$61,MATCH(ET.county!$B54,ET.region!$A$51:$A$61,0),MATCH(ET.county!E$1,ET.region!$A$51:$M$51,0))</f>
        <v>3.5027559055118114</v>
      </c>
      <c r="F54" s="5">
        <f>INDEX(ET.region!$A$51:$M$61,MATCH(ET.county!$B54,ET.region!$A$51:$A$61,0),MATCH(ET.county!F$1,ET.region!$A$51:$M$51,0))</f>
        <v>4.9370078740157481</v>
      </c>
      <c r="G54" s="5">
        <f>INDEX(ET.region!$A$51:$M$61,MATCH(ET.county!$B54,ET.region!$A$51:$A$61,0),MATCH(ET.county!G$1,ET.region!$A$51:$M$51,0))</f>
        <v>6.2122047244094487</v>
      </c>
      <c r="H54" s="5">
        <f>INDEX(ET.region!$A$51:$M$61,MATCH(ET.county!$B54,ET.region!$A$51:$A$61,0),MATCH(ET.county!H$1,ET.region!$A$51:$M$51,0))</f>
        <v>6.6968503937007879</v>
      </c>
      <c r="I54" s="5">
        <f>INDEX(ET.region!$A$51:$M$61,MATCH(ET.county!$B54,ET.region!$A$51:$A$61,0),MATCH(ET.county!I$1,ET.region!$A$51:$M$51,0))</f>
        <v>6.9444881889763792</v>
      </c>
      <c r="J54" s="5">
        <f>INDEX(ET.region!$A$51:$M$61,MATCH(ET.county!$B54,ET.region!$A$51:$A$61,0),MATCH(ET.county!J$1,ET.region!$A$51:$M$51,0))</f>
        <v>6.2122047244094487</v>
      </c>
      <c r="K54" s="5">
        <f>INDEX(ET.region!$A$51:$M$61,MATCH(ET.county!$B54,ET.region!$A$51:$A$61,0),MATCH(ET.county!K$1,ET.region!$A$51:$M$51,0))</f>
        <v>4.7598425196850407</v>
      </c>
      <c r="L54" s="5">
        <f>INDEX(ET.region!$A$51:$M$61,MATCH(ET.county!$B54,ET.region!$A$51:$A$61,0),MATCH(ET.county!L$1,ET.region!$A$51:$M$51,0))</f>
        <v>3.4417322834645669</v>
      </c>
      <c r="M54" s="5">
        <f>INDEX(ET.region!$A$51:$M$61,MATCH(ET.county!$B54,ET.region!$A$51:$A$61,0),MATCH(ET.county!M$1,ET.region!$A$51:$M$51,0))</f>
        <v>2.1496062992125986</v>
      </c>
      <c r="N54" s="5">
        <f>INDEX(ET.region!$A$51:$M$61,MATCH(ET.county!$B54,ET.region!$A$51:$A$61,0),MATCH(ET.county!N$1,ET.region!$A$51:$M$51,0))</f>
        <v>1.5133858267716536</v>
      </c>
    </row>
    <row r="55" spans="1:14" x14ac:dyDescent="0.3">
      <c r="A55" t="s">
        <v>164</v>
      </c>
      <c r="B55" t="s">
        <v>387</v>
      </c>
      <c r="C55" s="5">
        <f>INDEX(ET.region!$A$51:$M$61,MATCH(ET.county!$B55,ET.region!$A$51:$A$61,0),MATCH(ET.county!C$1,ET.region!$A$51:$M$51,0))</f>
        <v>1.5744094488188978</v>
      </c>
      <c r="D55" s="5">
        <f>INDEX(ET.region!$A$51:$M$61,MATCH(ET.county!$B55,ET.region!$A$51:$A$61,0),MATCH(ET.county!D$1,ET.region!$A$51:$M$51,0))</f>
        <v>2.0173228346456695</v>
      </c>
      <c r="E55" s="5">
        <f>INDEX(ET.region!$A$51:$M$61,MATCH(ET.county!$B55,ET.region!$A$51:$A$61,0),MATCH(ET.county!E$1,ET.region!$A$51:$M$51,0))</f>
        <v>3.4661417322834644</v>
      </c>
      <c r="F55" s="5">
        <f>INDEX(ET.region!$A$51:$M$61,MATCH(ET.county!$B55,ET.region!$A$51:$A$61,0),MATCH(ET.county!F$1,ET.region!$A$51:$M$51,0))</f>
        <v>4.877952755905512</v>
      </c>
      <c r="G55" s="5">
        <f>INDEX(ET.region!$A$51:$M$61,MATCH(ET.county!$B55,ET.region!$A$51:$A$61,0),MATCH(ET.county!G$1,ET.region!$A$51:$M$51,0))</f>
        <v>6.2976377952755911</v>
      </c>
      <c r="H55" s="5">
        <f>INDEX(ET.region!$A$51:$M$61,MATCH(ET.county!$B55,ET.region!$A$51:$A$61,0),MATCH(ET.county!H$1,ET.region!$A$51:$M$51,0))</f>
        <v>6.6968503937007879</v>
      </c>
      <c r="I55" s="5">
        <f>INDEX(ET.region!$A$51:$M$61,MATCH(ET.county!$B55,ET.region!$A$51:$A$61,0),MATCH(ET.county!I$1,ET.region!$A$51:$M$51,0))</f>
        <v>6.8346456692913389</v>
      </c>
      <c r="J55" s="5">
        <f>INDEX(ET.region!$A$51:$M$61,MATCH(ET.county!$B55,ET.region!$A$51:$A$61,0),MATCH(ET.county!J$1,ET.region!$A$51:$M$51,0))</f>
        <v>6.1145669291338578</v>
      </c>
      <c r="K55" s="5">
        <f>INDEX(ET.region!$A$51:$M$61,MATCH(ET.county!$B55,ET.region!$A$51:$A$61,0),MATCH(ET.county!K$1,ET.region!$A$51:$M$51,0))</f>
        <v>4.7125984251968509</v>
      </c>
      <c r="L55" s="5">
        <f>INDEX(ET.region!$A$51:$M$61,MATCH(ET.county!$B55,ET.region!$A$51:$A$61,0),MATCH(ET.county!L$1,ET.region!$A$51:$M$51,0))</f>
        <v>3.4661417322834644</v>
      </c>
      <c r="M55" s="5">
        <f>INDEX(ET.region!$A$51:$M$61,MATCH(ET.county!$B55,ET.region!$A$51:$A$61,0),MATCH(ET.county!M$1,ET.region!$A$51:$M$51,0))</f>
        <v>2.1968503937007875</v>
      </c>
      <c r="N55" s="5">
        <f>INDEX(ET.region!$A$51:$M$61,MATCH(ET.county!$B55,ET.region!$A$51:$A$61,0),MATCH(ET.county!N$1,ET.region!$A$51:$M$51,0))</f>
        <v>1.55</v>
      </c>
    </row>
    <row r="56" spans="1:14" x14ac:dyDescent="0.3">
      <c r="A56" t="s">
        <v>352</v>
      </c>
      <c r="B56" t="s">
        <v>392</v>
      </c>
      <c r="C56" s="5">
        <f>INDEX(ET.region!$A$51:$M$61,MATCH(ET.county!$B56,ET.region!$A$51:$A$61,0),MATCH(ET.county!C$1,ET.region!$A$51:$M$51,0))</f>
        <v>1.4889763779527558</v>
      </c>
      <c r="D56" s="5">
        <f>INDEX(ET.region!$A$51:$M$61,MATCH(ET.county!$B56,ET.region!$A$51:$A$61,0),MATCH(ET.county!D$1,ET.region!$A$51:$M$51,0))</f>
        <v>1.9401574803149606</v>
      </c>
      <c r="E56" s="5">
        <f>INDEX(ET.region!$A$51:$M$61,MATCH(ET.county!$B56,ET.region!$A$51:$A$61,0),MATCH(ET.county!E$1,ET.region!$A$51:$M$51,0))</f>
        <v>3.2952755905511819</v>
      </c>
      <c r="F56" s="5">
        <f>INDEX(ET.region!$A$51:$M$61,MATCH(ET.county!$B56,ET.region!$A$51:$A$61,0),MATCH(ET.county!F$1,ET.region!$A$51:$M$51,0))</f>
        <v>4.7007874015748037</v>
      </c>
      <c r="G56" s="5">
        <f>INDEX(ET.region!$A$51:$M$61,MATCH(ET.county!$B56,ET.region!$A$51:$A$61,0),MATCH(ET.county!G$1,ET.region!$A$51:$M$51,0))</f>
        <v>6.0169291338582678</v>
      </c>
      <c r="H56" s="5">
        <f>INDEX(ET.region!$A$51:$M$61,MATCH(ET.county!$B56,ET.region!$A$51:$A$61,0),MATCH(ET.county!H$1,ET.region!$A$51:$M$51,0))</f>
        <v>6.6496062992125982</v>
      </c>
      <c r="I56" s="5">
        <f>INDEX(ET.region!$A$51:$M$61,MATCH(ET.county!$B56,ET.region!$A$51:$A$61,0),MATCH(ET.county!I$1,ET.region!$A$51:$M$51,0))</f>
        <v>6.9322834645669289</v>
      </c>
      <c r="J56" s="5">
        <f>INDEX(ET.region!$A$51:$M$61,MATCH(ET.county!$B56,ET.region!$A$51:$A$61,0),MATCH(ET.county!J$1,ET.region!$A$51:$M$51,0))</f>
        <v>6.1755905511811022</v>
      </c>
      <c r="K56" s="5">
        <f>INDEX(ET.region!$A$51:$M$61,MATCH(ET.county!$B56,ET.region!$A$51:$A$61,0),MATCH(ET.county!K$1,ET.region!$A$51:$M$51,0))</f>
        <v>4.7125984251968509</v>
      </c>
      <c r="L56" s="5">
        <f>INDEX(ET.region!$A$51:$M$61,MATCH(ET.county!$B56,ET.region!$A$51:$A$61,0),MATCH(ET.county!L$1,ET.region!$A$51:$M$51,0))</f>
        <v>3.4173228346456694</v>
      </c>
      <c r="M56" s="5">
        <f>INDEX(ET.region!$A$51:$M$61,MATCH(ET.county!$B56,ET.region!$A$51:$A$61,0),MATCH(ET.county!M$1,ET.region!$A$51:$M$51,0))</f>
        <v>2.1141732283464569</v>
      </c>
      <c r="N56" s="5">
        <f>INDEX(ET.region!$A$51:$M$61,MATCH(ET.county!$B56,ET.region!$A$51:$A$61,0),MATCH(ET.county!N$1,ET.region!$A$51:$M$51,0))</f>
        <v>1.4523622047244096</v>
      </c>
    </row>
    <row r="57" spans="1:14" x14ac:dyDescent="0.3">
      <c r="A57" t="s">
        <v>326</v>
      </c>
      <c r="B57" t="s">
        <v>394</v>
      </c>
      <c r="C57" s="5">
        <f>INDEX(ET.region!$A$51:$M$61,MATCH(ET.county!$B57,ET.region!$A$51:$A$61,0),MATCH(ET.county!C$1,ET.region!$A$51:$M$51,0))</f>
        <v>1.3913385826771654</v>
      </c>
      <c r="D57" s="5">
        <f>INDEX(ET.region!$A$51:$M$61,MATCH(ET.county!$B57,ET.region!$A$51:$A$61,0),MATCH(ET.county!D$1,ET.region!$A$51:$M$51,0))</f>
        <v>1.7748031496062995</v>
      </c>
      <c r="E57" s="5">
        <f>INDEX(ET.region!$A$51:$M$61,MATCH(ET.county!$B57,ET.region!$A$51:$A$61,0),MATCH(ET.county!E$1,ET.region!$A$51:$M$51,0))</f>
        <v>3.0633858267716536</v>
      </c>
      <c r="F57" s="5">
        <f>INDEX(ET.region!$A$51:$M$61,MATCH(ET.county!$B57,ET.region!$A$51:$A$61,0),MATCH(ET.county!F$1,ET.region!$A$51:$M$51,0))</f>
        <v>4.4173228346456694</v>
      </c>
      <c r="G57" s="5">
        <f>INDEX(ET.region!$A$51:$M$61,MATCH(ET.county!$B57,ET.region!$A$51:$A$61,0),MATCH(ET.county!G$1,ET.region!$A$51:$M$51,0))</f>
        <v>5.7362204724409454</v>
      </c>
      <c r="H57" s="5">
        <f>INDEX(ET.region!$A$51:$M$61,MATCH(ET.county!$B57,ET.region!$A$51:$A$61,0),MATCH(ET.county!H$1,ET.region!$A$51:$M$51,0))</f>
        <v>6.3070866141732287</v>
      </c>
      <c r="I57" s="5">
        <f>INDEX(ET.region!$A$51:$M$61,MATCH(ET.county!$B57,ET.region!$A$51:$A$61,0),MATCH(ET.county!I$1,ET.region!$A$51:$M$51,0))</f>
        <v>6.5417322834645679</v>
      </c>
      <c r="J57" s="5">
        <f>INDEX(ET.region!$A$51:$M$61,MATCH(ET.county!$B57,ET.region!$A$51:$A$61,0),MATCH(ET.county!J$1,ET.region!$A$51:$M$51,0))</f>
        <v>5.9314960629921272</v>
      </c>
      <c r="K57" s="5">
        <f>INDEX(ET.region!$A$51:$M$61,MATCH(ET.county!$B57,ET.region!$A$51:$A$61,0),MATCH(ET.county!K$1,ET.region!$A$51:$M$51,0))</f>
        <v>4.5118110236220472</v>
      </c>
      <c r="L57" s="5">
        <f>INDEX(ET.region!$A$51:$M$61,MATCH(ET.county!$B57,ET.region!$A$51:$A$61,0),MATCH(ET.county!L$1,ET.region!$A$51:$M$51,0))</f>
        <v>3.270866141732284</v>
      </c>
      <c r="M57" s="5">
        <f>INDEX(ET.region!$A$51:$M$61,MATCH(ET.county!$B57,ET.region!$A$51:$A$61,0),MATCH(ET.county!M$1,ET.region!$A$51:$M$51,0))</f>
        <v>1.9724409448818898</v>
      </c>
      <c r="N57" s="5">
        <f>INDEX(ET.region!$A$51:$M$61,MATCH(ET.county!$B57,ET.region!$A$51:$A$61,0),MATCH(ET.county!N$1,ET.region!$A$51:$M$51,0))</f>
        <v>1.3547244094488189</v>
      </c>
    </row>
    <row r="58" spans="1:14" x14ac:dyDescent="0.3">
      <c r="A58" t="s">
        <v>344</v>
      </c>
      <c r="B58" t="s">
        <v>394</v>
      </c>
      <c r="C58" s="5">
        <f>INDEX(ET.region!$A$51:$M$61,MATCH(ET.county!$B58,ET.region!$A$51:$A$61,0),MATCH(ET.county!C$1,ET.region!$A$51:$M$51,0))</f>
        <v>1.3913385826771654</v>
      </c>
      <c r="D58" s="5">
        <f>INDEX(ET.region!$A$51:$M$61,MATCH(ET.county!$B58,ET.region!$A$51:$A$61,0),MATCH(ET.county!D$1,ET.region!$A$51:$M$51,0))</f>
        <v>1.7748031496062995</v>
      </c>
      <c r="E58" s="5">
        <f>INDEX(ET.region!$A$51:$M$61,MATCH(ET.county!$B58,ET.region!$A$51:$A$61,0),MATCH(ET.county!E$1,ET.region!$A$51:$M$51,0))</f>
        <v>3.0633858267716536</v>
      </c>
      <c r="F58" s="5">
        <f>INDEX(ET.region!$A$51:$M$61,MATCH(ET.county!$B58,ET.region!$A$51:$A$61,0),MATCH(ET.county!F$1,ET.region!$A$51:$M$51,0))</f>
        <v>4.4173228346456694</v>
      </c>
      <c r="G58" s="5">
        <f>INDEX(ET.region!$A$51:$M$61,MATCH(ET.county!$B58,ET.region!$A$51:$A$61,0),MATCH(ET.county!G$1,ET.region!$A$51:$M$51,0))</f>
        <v>5.7362204724409454</v>
      </c>
      <c r="H58" s="5">
        <f>INDEX(ET.region!$A$51:$M$61,MATCH(ET.county!$B58,ET.region!$A$51:$A$61,0),MATCH(ET.county!H$1,ET.region!$A$51:$M$51,0))</f>
        <v>6.3070866141732287</v>
      </c>
      <c r="I58" s="5">
        <f>INDEX(ET.region!$A$51:$M$61,MATCH(ET.county!$B58,ET.region!$A$51:$A$61,0),MATCH(ET.county!I$1,ET.region!$A$51:$M$51,0))</f>
        <v>6.5417322834645679</v>
      </c>
      <c r="J58" s="5">
        <f>INDEX(ET.region!$A$51:$M$61,MATCH(ET.county!$B58,ET.region!$A$51:$A$61,0),MATCH(ET.county!J$1,ET.region!$A$51:$M$51,0))</f>
        <v>5.9314960629921272</v>
      </c>
      <c r="K58" s="5">
        <f>INDEX(ET.region!$A$51:$M$61,MATCH(ET.county!$B58,ET.region!$A$51:$A$61,0),MATCH(ET.county!K$1,ET.region!$A$51:$M$51,0))</f>
        <v>4.5118110236220472</v>
      </c>
      <c r="L58" s="5">
        <f>INDEX(ET.region!$A$51:$M$61,MATCH(ET.county!$B58,ET.region!$A$51:$A$61,0),MATCH(ET.county!L$1,ET.region!$A$51:$M$51,0))</f>
        <v>3.270866141732284</v>
      </c>
      <c r="M58" s="5">
        <f>INDEX(ET.region!$A$51:$M$61,MATCH(ET.county!$B58,ET.region!$A$51:$A$61,0),MATCH(ET.county!M$1,ET.region!$A$51:$M$51,0))</f>
        <v>1.9724409448818898</v>
      </c>
      <c r="N58" s="5">
        <f>INDEX(ET.region!$A$51:$M$61,MATCH(ET.county!$B58,ET.region!$A$51:$A$61,0),MATCH(ET.county!N$1,ET.region!$A$51:$M$51,0))</f>
        <v>1.3547244094488189</v>
      </c>
    </row>
    <row r="59" spans="1:14" x14ac:dyDescent="0.3">
      <c r="A59" t="s">
        <v>380</v>
      </c>
      <c r="B59" t="s">
        <v>395</v>
      </c>
      <c r="C59" s="5">
        <f>INDEX(ET.region!$A$51:$M$61,MATCH(ET.county!$B59,ET.region!$A$51:$A$61,0),MATCH(ET.county!C$1,ET.region!$A$51:$M$51,0))</f>
        <v>1.5255905511811025</v>
      </c>
      <c r="D59" s="5">
        <f>INDEX(ET.region!$A$51:$M$61,MATCH(ET.county!$B59,ET.region!$A$51:$A$61,0),MATCH(ET.county!D$1,ET.region!$A$51:$M$51,0))</f>
        <v>2.0173228346456695</v>
      </c>
      <c r="E59" s="5">
        <f>INDEX(ET.region!$A$51:$M$61,MATCH(ET.county!$B59,ET.region!$A$51:$A$61,0),MATCH(ET.county!E$1,ET.region!$A$51:$M$51,0))</f>
        <v>3.4905511811023624</v>
      </c>
      <c r="F59" s="5">
        <f>INDEX(ET.region!$A$51:$M$61,MATCH(ET.county!$B59,ET.region!$A$51:$A$61,0),MATCH(ET.county!F$1,ET.region!$A$51:$M$51,0))</f>
        <v>5.0551181102362204</v>
      </c>
      <c r="G59" s="5">
        <f>INDEX(ET.region!$A$51:$M$61,MATCH(ET.county!$B59,ET.region!$A$51:$A$61,0),MATCH(ET.county!G$1,ET.region!$A$51:$M$51,0))</f>
        <v>6.4318897637795267</v>
      </c>
      <c r="H59" s="5">
        <f>INDEX(ET.region!$A$51:$M$61,MATCH(ET.county!$B59,ET.region!$A$51:$A$61,0),MATCH(ET.county!H$1,ET.region!$A$51:$M$51,0))</f>
        <v>7.0748031496063</v>
      </c>
      <c r="I59" s="5">
        <f>INDEX(ET.region!$A$51:$M$61,MATCH(ET.county!$B59,ET.region!$A$51:$A$61,0),MATCH(ET.county!I$1,ET.region!$A$51:$M$51,0))</f>
        <v>7.359448818897639</v>
      </c>
      <c r="J59" s="5">
        <f>INDEX(ET.region!$A$51:$M$61,MATCH(ET.county!$B59,ET.region!$A$51:$A$61,0),MATCH(ET.county!J$1,ET.region!$A$51:$M$51,0))</f>
        <v>6.566141732283465</v>
      </c>
      <c r="K59" s="5">
        <f>INDEX(ET.region!$A$51:$M$61,MATCH(ET.county!$B59,ET.region!$A$51:$A$61,0),MATCH(ET.county!K$1,ET.region!$A$51:$M$51,0))</f>
        <v>4.9488188976377963</v>
      </c>
      <c r="L59" s="5">
        <f>INDEX(ET.region!$A$51:$M$61,MATCH(ET.county!$B59,ET.region!$A$51:$A$61,0),MATCH(ET.county!L$1,ET.region!$A$51:$M$51,0))</f>
        <v>3.5759842519685043</v>
      </c>
      <c r="M59" s="5">
        <f>INDEX(ET.region!$A$51:$M$61,MATCH(ET.county!$B59,ET.region!$A$51:$A$61,0),MATCH(ET.county!M$1,ET.region!$A$51:$M$51,0))</f>
        <v>2.1968503937007875</v>
      </c>
      <c r="N59" s="5">
        <f>INDEX(ET.region!$A$51:$M$61,MATCH(ET.county!$B59,ET.region!$A$51:$A$61,0),MATCH(ET.county!N$1,ET.region!$A$51:$M$51,0))</f>
        <v>1.5255905511811025</v>
      </c>
    </row>
    <row r="60" spans="1:14" x14ac:dyDescent="0.3">
      <c r="A60" t="s">
        <v>354</v>
      </c>
      <c r="B60" t="s">
        <v>393</v>
      </c>
      <c r="C60" s="5">
        <f>INDEX(ET.region!$A$51:$M$61,MATCH(ET.county!$B60,ET.region!$A$51:$A$61,0),MATCH(ET.county!C$1,ET.region!$A$51:$M$51,0))</f>
        <v>1.4523622047244096</v>
      </c>
      <c r="D60" s="5">
        <f>INDEX(ET.region!$A$51:$M$61,MATCH(ET.county!$B60,ET.region!$A$51:$A$61,0),MATCH(ET.county!D$1,ET.region!$A$51:$M$51,0))</f>
        <v>1.8850393700787402</v>
      </c>
      <c r="E60" s="5">
        <f>INDEX(ET.region!$A$51:$M$61,MATCH(ET.county!$B60,ET.region!$A$51:$A$61,0),MATCH(ET.county!E$1,ET.region!$A$51:$M$51,0))</f>
        <v>3.1610236220472441</v>
      </c>
      <c r="F60" s="5">
        <f>INDEX(ET.region!$A$51:$M$61,MATCH(ET.county!$B60,ET.region!$A$51:$A$61,0),MATCH(ET.county!F$1,ET.region!$A$51:$M$51,0))</f>
        <v>4.346456692913387</v>
      </c>
      <c r="G60" s="5">
        <f>INDEX(ET.region!$A$51:$M$61,MATCH(ET.county!$B60,ET.region!$A$51:$A$61,0),MATCH(ET.county!G$1,ET.region!$A$51:$M$51,0))</f>
        <v>5.333464566929135</v>
      </c>
      <c r="H60" s="5">
        <f>INDEX(ET.region!$A$51:$M$61,MATCH(ET.county!$B60,ET.region!$A$51:$A$61,0),MATCH(ET.county!H$1,ET.region!$A$51:$M$51,0))</f>
        <v>5.5748031496062991</v>
      </c>
      <c r="I60" s="5">
        <f>INDEX(ET.region!$A$51:$M$61,MATCH(ET.county!$B60,ET.region!$A$51:$A$61,0),MATCH(ET.county!I$1,ET.region!$A$51:$M$51,0))</f>
        <v>5.6751968503937018</v>
      </c>
      <c r="J60" s="5">
        <f>INDEX(ET.region!$A$51:$M$61,MATCH(ET.county!$B60,ET.region!$A$51:$A$61,0),MATCH(ET.county!J$1,ET.region!$A$51:$M$51,0))</f>
        <v>5.0893700787401581</v>
      </c>
      <c r="K60" s="5">
        <f>INDEX(ET.region!$A$51:$M$61,MATCH(ET.county!$B60,ET.region!$A$51:$A$61,0),MATCH(ET.county!K$1,ET.region!$A$51:$M$51,0))</f>
        <v>4.015748031496063</v>
      </c>
      <c r="L60" s="5">
        <f>INDEX(ET.region!$A$51:$M$61,MATCH(ET.county!$B60,ET.region!$A$51:$A$61,0),MATCH(ET.county!L$1,ET.region!$A$51:$M$51,0))</f>
        <v>3.0633858267716536</v>
      </c>
      <c r="M60" s="5">
        <f>INDEX(ET.region!$A$51:$M$61,MATCH(ET.county!$B60,ET.region!$A$51:$A$61,0),MATCH(ET.county!M$1,ET.region!$A$51:$M$51,0))</f>
        <v>1.9606299212598426</v>
      </c>
      <c r="N60" s="5">
        <f>INDEX(ET.region!$A$51:$M$61,MATCH(ET.county!$B60,ET.region!$A$51:$A$61,0),MATCH(ET.county!N$1,ET.region!$A$51:$M$51,0))</f>
        <v>1.3913385826771654</v>
      </c>
    </row>
    <row r="61" spans="1:14" x14ac:dyDescent="0.3">
      <c r="A61" t="s">
        <v>322</v>
      </c>
      <c r="B61" t="s">
        <v>392</v>
      </c>
      <c r="C61" s="5">
        <f>INDEX(ET.region!$A$51:$M$61,MATCH(ET.county!$B61,ET.region!$A$51:$A$61,0),MATCH(ET.county!C$1,ET.region!$A$51:$M$51,0))</f>
        <v>1.4889763779527558</v>
      </c>
      <c r="D61" s="5">
        <f>INDEX(ET.region!$A$51:$M$61,MATCH(ET.county!$B61,ET.region!$A$51:$A$61,0),MATCH(ET.county!D$1,ET.region!$A$51:$M$51,0))</f>
        <v>1.9401574803149606</v>
      </c>
      <c r="E61" s="5">
        <f>INDEX(ET.region!$A$51:$M$61,MATCH(ET.county!$B61,ET.region!$A$51:$A$61,0),MATCH(ET.county!E$1,ET.region!$A$51:$M$51,0))</f>
        <v>3.2952755905511819</v>
      </c>
      <c r="F61" s="5">
        <f>INDEX(ET.region!$A$51:$M$61,MATCH(ET.county!$B61,ET.region!$A$51:$A$61,0),MATCH(ET.county!F$1,ET.region!$A$51:$M$51,0))</f>
        <v>4.7007874015748037</v>
      </c>
      <c r="G61" s="5">
        <f>INDEX(ET.region!$A$51:$M$61,MATCH(ET.county!$B61,ET.region!$A$51:$A$61,0),MATCH(ET.county!G$1,ET.region!$A$51:$M$51,0))</f>
        <v>6.0169291338582678</v>
      </c>
      <c r="H61" s="5">
        <f>INDEX(ET.region!$A$51:$M$61,MATCH(ET.county!$B61,ET.region!$A$51:$A$61,0),MATCH(ET.county!H$1,ET.region!$A$51:$M$51,0))</f>
        <v>6.6496062992125982</v>
      </c>
      <c r="I61" s="5">
        <f>INDEX(ET.region!$A$51:$M$61,MATCH(ET.county!$B61,ET.region!$A$51:$A$61,0),MATCH(ET.county!I$1,ET.region!$A$51:$M$51,0))</f>
        <v>6.9322834645669289</v>
      </c>
      <c r="J61" s="5">
        <f>INDEX(ET.region!$A$51:$M$61,MATCH(ET.county!$B61,ET.region!$A$51:$A$61,0),MATCH(ET.county!J$1,ET.region!$A$51:$M$51,0))</f>
        <v>6.1755905511811022</v>
      </c>
      <c r="K61" s="5">
        <f>INDEX(ET.region!$A$51:$M$61,MATCH(ET.county!$B61,ET.region!$A$51:$A$61,0),MATCH(ET.county!K$1,ET.region!$A$51:$M$51,0))</f>
        <v>4.7125984251968509</v>
      </c>
      <c r="L61" s="5">
        <f>INDEX(ET.region!$A$51:$M$61,MATCH(ET.county!$B61,ET.region!$A$51:$A$61,0),MATCH(ET.county!L$1,ET.region!$A$51:$M$51,0))</f>
        <v>3.4173228346456694</v>
      </c>
      <c r="M61" s="5">
        <f>INDEX(ET.region!$A$51:$M$61,MATCH(ET.county!$B61,ET.region!$A$51:$A$61,0),MATCH(ET.county!M$1,ET.region!$A$51:$M$51,0))</f>
        <v>2.1141732283464569</v>
      </c>
      <c r="N61" s="5">
        <f>INDEX(ET.region!$A$51:$M$61,MATCH(ET.county!$B61,ET.region!$A$51:$A$61,0),MATCH(ET.county!N$1,ET.region!$A$51:$M$51,0))</f>
        <v>1.4523622047244096</v>
      </c>
    </row>
    <row r="62" spans="1:14" x14ac:dyDescent="0.3">
      <c r="A62" t="s">
        <v>707</v>
      </c>
      <c r="B62" t="s">
        <v>394</v>
      </c>
      <c r="C62" s="5">
        <f>INDEX(ET.region!$A$51:$M$61,MATCH(ET.county!$B62,ET.region!$A$51:$A$61,0),MATCH(ET.county!C$1,ET.region!$A$51:$M$51,0))</f>
        <v>1.3913385826771654</v>
      </c>
      <c r="D62" s="5">
        <f>INDEX(ET.region!$A$51:$M$61,MATCH(ET.county!$B62,ET.region!$A$51:$A$61,0),MATCH(ET.county!D$1,ET.region!$A$51:$M$51,0))</f>
        <v>1.7748031496062995</v>
      </c>
      <c r="E62" s="5">
        <f>INDEX(ET.region!$A$51:$M$61,MATCH(ET.county!$B62,ET.region!$A$51:$A$61,0),MATCH(ET.county!E$1,ET.region!$A$51:$M$51,0))</f>
        <v>3.0633858267716536</v>
      </c>
      <c r="F62" s="5">
        <f>INDEX(ET.region!$A$51:$M$61,MATCH(ET.county!$B62,ET.region!$A$51:$A$61,0),MATCH(ET.county!F$1,ET.region!$A$51:$M$51,0))</f>
        <v>4.4173228346456694</v>
      </c>
      <c r="G62" s="5">
        <f>INDEX(ET.region!$A$51:$M$61,MATCH(ET.county!$B62,ET.region!$A$51:$A$61,0),MATCH(ET.county!G$1,ET.region!$A$51:$M$51,0))</f>
        <v>5.7362204724409454</v>
      </c>
      <c r="H62" s="5">
        <f>INDEX(ET.region!$A$51:$M$61,MATCH(ET.county!$B62,ET.region!$A$51:$A$61,0),MATCH(ET.county!H$1,ET.region!$A$51:$M$51,0))</f>
        <v>6.3070866141732287</v>
      </c>
      <c r="I62" s="5">
        <f>INDEX(ET.region!$A$51:$M$61,MATCH(ET.county!$B62,ET.region!$A$51:$A$61,0),MATCH(ET.county!I$1,ET.region!$A$51:$M$51,0))</f>
        <v>6.5417322834645679</v>
      </c>
      <c r="J62" s="5">
        <f>INDEX(ET.region!$A$51:$M$61,MATCH(ET.county!$B62,ET.region!$A$51:$A$61,0),MATCH(ET.county!J$1,ET.region!$A$51:$M$51,0))</f>
        <v>5.9314960629921272</v>
      </c>
      <c r="K62" s="5">
        <f>INDEX(ET.region!$A$51:$M$61,MATCH(ET.county!$B62,ET.region!$A$51:$A$61,0),MATCH(ET.county!K$1,ET.region!$A$51:$M$51,0))</f>
        <v>4.5118110236220472</v>
      </c>
      <c r="L62" s="5">
        <f>INDEX(ET.region!$A$51:$M$61,MATCH(ET.county!$B62,ET.region!$A$51:$A$61,0),MATCH(ET.county!L$1,ET.region!$A$51:$M$51,0))</f>
        <v>3.270866141732284</v>
      </c>
      <c r="M62" s="5">
        <f>INDEX(ET.region!$A$51:$M$61,MATCH(ET.county!$B62,ET.region!$A$51:$A$61,0),MATCH(ET.county!M$1,ET.region!$A$51:$M$51,0))</f>
        <v>1.9724409448818898</v>
      </c>
      <c r="N62" s="5">
        <f>INDEX(ET.region!$A$51:$M$61,MATCH(ET.county!$B62,ET.region!$A$51:$A$61,0),MATCH(ET.county!N$1,ET.region!$A$51:$M$51,0))</f>
        <v>1.3547244094488189</v>
      </c>
    </row>
    <row r="63" spans="1:14" x14ac:dyDescent="0.3">
      <c r="A63" t="s">
        <v>346</v>
      </c>
      <c r="B63" t="s">
        <v>390</v>
      </c>
      <c r="C63" s="5">
        <f>INDEX(ET.region!$A$51:$M$61,MATCH(ET.county!$B63,ET.region!$A$51:$A$61,0),MATCH(ET.county!C$1,ET.region!$A$51:$M$51,0))</f>
        <v>1.5011811023622048</v>
      </c>
      <c r="D63" s="5">
        <f>INDEX(ET.region!$A$51:$M$61,MATCH(ET.county!$B63,ET.region!$A$51:$A$61,0),MATCH(ET.county!D$1,ET.region!$A$51:$M$51,0))</f>
        <v>1.9622047244094489</v>
      </c>
      <c r="E63" s="5">
        <f>INDEX(ET.region!$A$51:$M$61,MATCH(ET.county!$B63,ET.region!$A$51:$A$61,0),MATCH(ET.county!E$1,ET.region!$A$51:$M$51,0))</f>
        <v>3.4051181102362205</v>
      </c>
      <c r="F63" s="5">
        <f>INDEX(ET.region!$A$51:$M$61,MATCH(ET.county!$B63,ET.region!$A$51:$A$61,0),MATCH(ET.county!F$1,ET.region!$A$51:$M$51,0))</f>
        <v>4.8661417322834648</v>
      </c>
      <c r="G63" s="5">
        <f>INDEX(ET.region!$A$51:$M$61,MATCH(ET.county!$B63,ET.region!$A$51:$A$61,0),MATCH(ET.county!G$1,ET.region!$A$51:$M$51,0))</f>
        <v>6.1755905511811022</v>
      </c>
      <c r="H63" s="5">
        <f>INDEX(ET.region!$A$51:$M$61,MATCH(ET.county!$B63,ET.region!$A$51:$A$61,0),MATCH(ET.county!H$1,ET.region!$A$51:$M$51,0))</f>
        <v>6.7440944881889759</v>
      </c>
      <c r="I63" s="5">
        <f>INDEX(ET.region!$A$51:$M$61,MATCH(ET.county!$B63,ET.region!$A$51:$A$61,0),MATCH(ET.county!I$1,ET.region!$A$51:$M$51,0))</f>
        <v>7.0055118110236227</v>
      </c>
      <c r="J63" s="5">
        <f>INDEX(ET.region!$A$51:$M$61,MATCH(ET.county!$B63,ET.region!$A$51:$A$61,0),MATCH(ET.county!J$1,ET.region!$A$51:$M$51,0))</f>
        <v>6.2244094488188981</v>
      </c>
      <c r="K63" s="5">
        <f>INDEX(ET.region!$A$51:$M$61,MATCH(ET.county!$B63,ET.region!$A$51:$A$61,0),MATCH(ET.county!K$1,ET.region!$A$51:$M$51,0))</f>
        <v>4.771653543307087</v>
      </c>
      <c r="L63" s="5">
        <f>INDEX(ET.region!$A$51:$M$61,MATCH(ET.county!$B63,ET.region!$A$51:$A$61,0),MATCH(ET.county!L$1,ET.region!$A$51:$M$51,0))</f>
        <v>3.4051181102362205</v>
      </c>
      <c r="M63" s="5">
        <f>INDEX(ET.region!$A$51:$M$61,MATCH(ET.county!$B63,ET.region!$A$51:$A$61,0),MATCH(ET.county!M$1,ET.region!$A$51:$M$51,0))</f>
        <v>2.0905511811023625</v>
      </c>
      <c r="N63" s="5">
        <f>INDEX(ET.region!$A$51:$M$61,MATCH(ET.county!$B63,ET.region!$A$51:$A$61,0),MATCH(ET.county!N$1,ET.region!$A$51:$M$51,0))</f>
        <v>1.4889763779527558</v>
      </c>
    </row>
    <row r="64" spans="1:14" x14ac:dyDescent="0.3">
      <c r="A64" t="s">
        <v>317</v>
      </c>
      <c r="B64" t="s">
        <v>390</v>
      </c>
      <c r="C64" s="5">
        <f>INDEX(ET.region!$A$51:$M$61,MATCH(ET.county!$B64,ET.region!$A$51:$A$61,0),MATCH(ET.county!C$1,ET.region!$A$51:$M$51,0))</f>
        <v>1.5011811023622048</v>
      </c>
      <c r="D64" s="5">
        <f>INDEX(ET.region!$A$51:$M$61,MATCH(ET.county!$B64,ET.region!$A$51:$A$61,0),MATCH(ET.county!D$1,ET.region!$A$51:$M$51,0))</f>
        <v>1.9622047244094489</v>
      </c>
      <c r="E64" s="5">
        <f>INDEX(ET.region!$A$51:$M$61,MATCH(ET.county!$B64,ET.region!$A$51:$A$61,0),MATCH(ET.county!E$1,ET.region!$A$51:$M$51,0))</f>
        <v>3.4051181102362205</v>
      </c>
      <c r="F64" s="5">
        <f>INDEX(ET.region!$A$51:$M$61,MATCH(ET.county!$B64,ET.region!$A$51:$A$61,0),MATCH(ET.county!F$1,ET.region!$A$51:$M$51,0))</f>
        <v>4.8661417322834648</v>
      </c>
      <c r="G64" s="5">
        <f>INDEX(ET.region!$A$51:$M$61,MATCH(ET.county!$B64,ET.region!$A$51:$A$61,0),MATCH(ET.county!G$1,ET.region!$A$51:$M$51,0))</f>
        <v>6.1755905511811022</v>
      </c>
      <c r="H64" s="5">
        <f>INDEX(ET.region!$A$51:$M$61,MATCH(ET.county!$B64,ET.region!$A$51:$A$61,0),MATCH(ET.county!H$1,ET.region!$A$51:$M$51,0))</f>
        <v>6.7440944881889759</v>
      </c>
      <c r="I64" s="5">
        <f>INDEX(ET.region!$A$51:$M$61,MATCH(ET.county!$B64,ET.region!$A$51:$A$61,0),MATCH(ET.county!I$1,ET.region!$A$51:$M$51,0))</f>
        <v>7.0055118110236227</v>
      </c>
      <c r="J64" s="5">
        <f>INDEX(ET.region!$A$51:$M$61,MATCH(ET.county!$B64,ET.region!$A$51:$A$61,0),MATCH(ET.county!J$1,ET.region!$A$51:$M$51,0))</f>
        <v>6.2244094488188981</v>
      </c>
      <c r="K64" s="5">
        <f>INDEX(ET.region!$A$51:$M$61,MATCH(ET.county!$B64,ET.region!$A$51:$A$61,0),MATCH(ET.county!K$1,ET.region!$A$51:$M$51,0))</f>
        <v>4.771653543307087</v>
      </c>
      <c r="L64" s="5">
        <f>INDEX(ET.region!$A$51:$M$61,MATCH(ET.county!$B64,ET.region!$A$51:$A$61,0),MATCH(ET.county!L$1,ET.region!$A$51:$M$51,0))</f>
        <v>3.4051181102362205</v>
      </c>
      <c r="M64" s="5">
        <f>INDEX(ET.region!$A$51:$M$61,MATCH(ET.county!$B64,ET.region!$A$51:$A$61,0),MATCH(ET.county!M$1,ET.region!$A$51:$M$51,0))</f>
        <v>2.0905511811023625</v>
      </c>
      <c r="N64" s="5">
        <f>INDEX(ET.region!$A$51:$M$61,MATCH(ET.county!$B64,ET.region!$A$51:$A$61,0),MATCH(ET.county!N$1,ET.region!$A$51:$M$51,0))</f>
        <v>1.4889763779527558</v>
      </c>
    </row>
    <row r="65" spans="1:14" x14ac:dyDescent="0.3">
      <c r="A65" t="s">
        <v>364</v>
      </c>
      <c r="B65" t="s">
        <v>389</v>
      </c>
      <c r="C65" s="5">
        <f>INDEX(ET.region!$A$51:$M$61,MATCH(ET.county!$B65,ET.region!$A$51:$A$61,0),MATCH(ET.county!C$1,ET.region!$A$51:$M$51,0))</f>
        <v>1.562204724409449</v>
      </c>
      <c r="D65" s="5">
        <f>INDEX(ET.region!$A$51:$M$61,MATCH(ET.county!$B65,ET.region!$A$51:$A$61,0),MATCH(ET.county!D$1,ET.region!$A$51:$M$51,0))</f>
        <v>2.0503937007874016</v>
      </c>
      <c r="E65" s="5">
        <f>INDEX(ET.region!$A$51:$M$61,MATCH(ET.county!$B65,ET.region!$A$51:$A$61,0),MATCH(ET.county!E$1,ET.region!$A$51:$M$51,0))</f>
        <v>3.5027559055118114</v>
      </c>
      <c r="F65" s="5">
        <f>INDEX(ET.region!$A$51:$M$61,MATCH(ET.county!$B65,ET.region!$A$51:$A$61,0),MATCH(ET.county!F$1,ET.region!$A$51:$M$51,0))</f>
        <v>4.9370078740157481</v>
      </c>
      <c r="G65" s="5">
        <f>INDEX(ET.region!$A$51:$M$61,MATCH(ET.county!$B65,ET.region!$A$51:$A$61,0),MATCH(ET.county!G$1,ET.region!$A$51:$M$51,0))</f>
        <v>6.2122047244094487</v>
      </c>
      <c r="H65" s="5">
        <f>INDEX(ET.region!$A$51:$M$61,MATCH(ET.county!$B65,ET.region!$A$51:$A$61,0),MATCH(ET.county!H$1,ET.region!$A$51:$M$51,0))</f>
        <v>6.6968503937007879</v>
      </c>
      <c r="I65" s="5">
        <f>INDEX(ET.region!$A$51:$M$61,MATCH(ET.county!$B65,ET.region!$A$51:$A$61,0),MATCH(ET.county!I$1,ET.region!$A$51:$M$51,0))</f>
        <v>6.9444881889763792</v>
      </c>
      <c r="J65" s="5">
        <f>INDEX(ET.region!$A$51:$M$61,MATCH(ET.county!$B65,ET.region!$A$51:$A$61,0),MATCH(ET.county!J$1,ET.region!$A$51:$M$51,0))</f>
        <v>6.2122047244094487</v>
      </c>
      <c r="K65" s="5">
        <f>INDEX(ET.region!$A$51:$M$61,MATCH(ET.county!$B65,ET.region!$A$51:$A$61,0),MATCH(ET.county!K$1,ET.region!$A$51:$M$51,0))</f>
        <v>4.7598425196850407</v>
      </c>
      <c r="L65" s="5">
        <f>INDEX(ET.region!$A$51:$M$61,MATCH(ET.county!$B65,ET.region!$A$51:$A$61,0),MATCH(ET.county!L$1,ET.region!$A$51:$M$51,0))</f>
        <v>3.4417322834645669</v>
      </c>
      <c r="M65" s="5">
        <f>INDEX(ET.region!$A$51:$M$61,MATCH(ET.county!$B65,ET.region!$A$51:$A$61,0),MATCH(ET.county!M$1,ET.region!$A$51:$M$51,0))</f>
        <v>2.1496062992125986</v>
      </c>
      <c r="N65" s="5">
        <f>INDEX(ET.region!$A$51:$M$61,MATCH(ET.county!$B65,ET.region!$A$51:$A$61,0),MATCH(ET.county!N$1,ET.region!$A$51:$M$51,0))</f>
        <v>1.5133858267716536</v>
      </c>
    </row>
    <row r="66" spans="1:14" x14ac:dyDescent="0.3">
      <c r="A66" t="s">
        <v>381</v>
      </c>
      <c r="B66" t="s">
        <v>388</v>
      </c>
      <c r="C66" s="5">
        <f>INDEX(ET.region!$A$51:$M$61,MATCH(ET.county!$B66,ET.region!$A$51:$A$61,0),MATCH(ET.county!C$1,ET.region!$A$51:$M$51,0))</f>
        <v>1.6964566929133857</v>
      </c>
      <c r="D66" s="5">
        <f>INDEX(ET.region!$A$51:$M$61,MATCH(ET.county!$B66,ET.region!$A$51:$A$61,0),MATCH(ET.county!D$1,ET.region!$A$51:$M$51,0))</f>
        <v>2.1496062992125986</v>
      </c>
      <c r="E66" s="5">
        <f>INDEX(ET.region!$A$51:$M$61,MATCH(ET.county!$B66,ET.region!$A$51:$A$61,0),MATCH(ET.county!E$1,ET.region!$A$51:$M$51,0))</f>
        <v>3.6248031496062993</v>
      </c>
      <c r="F66" s="5">
        <f>INDEX(ET.region!$A$51:$M$61,MATCH(ET.county!$B66,ET.region!$A$51:$A$61,0),MATCH(ET.county!F$1,ET.region!$A$51:$M$51,0))</f>
        <v>4.9724409448818898</v>
      </c>
      <c r="G66" s="5">
        <f>INDEX(ET.region!$A$51:$M$61,MATCH(ET.county!$B66,ET.region!$A$51:$A$61,0),MATCH(ET.county!G$1,ET.region!$A$51:$M$51,0))</f>
        <v>6.2976377952755911</v>
      </c>
      <c r="H66" s="5">
        <f>INDEX(ET.region!$A$51:$M$61,MATCH(ET.county!$B66,ET.region!$A$51:$A$61,0),MATCH(ET.county!H$1,ET.region!$A$51:$M$51,0))</f>
        <v>6.6141732283464565</v>
      </c>
      <c r="I66" s="5">
        <f>INDEX(ET.region!$A$51:$M$61,MATCH(ET.county!$B66,ET.region!$A$51:$A$61,0),MATCH(ET.county!I$1,ET.region!$A$51:$M$51,0))</f>
        <v>6.8590551181102368</v>
      </c>
      <c r="J66" s="5">
        <f>INDEX(ET.region!$A$51:$M$61,MATCH(ET.county!$B66,ET.region!$A$51:$A$61,0),MATCH(ET.county!J$1,ET.region!$A$51:$M$51,0))</f>
        <v>6.1755905511811022</v>
      </c>
      <c r="K66" s="5">
        <f>INDEX(ET.region!$A$51:$M$61,MATCH(ET.county!$B66,ET.region!$A$51:$A$61,0),MATCH(ET.county!K$1,ET.region!$A$51:$M$51,0))</f>
        <v>4.8661417322834648</v>
      </c>
      <c r="L66" s="5">
        <f>INDEX(ET.region!$A$51:$M$61,MATCH(ET.county!$B66,ET.region!$A$51:$A$61,0),MATCH(ET.county!L$1,ET.region!$A$51:$M$51,0))</f>
        <v>3.6370078740157483</v>
      </c>
      <c r="M66" s="5">
        <f>INDEX(ET.region!$A$51:$M$61,MATCH(ET.county!$B66,ET.region!$A$51:$A$61,0),MATCH(ET.county!M$1,ET.region!$A$51:$M$51,0))</f>
        <v>2.3622047244094486</v>
      </c>
      <c r="N66" s="5">
        <f>INDEX(ET.region!$A$51:$M$61,MATCH(ET.county!$B66,ET.region!$A$51:$A$61,0),MATCH(ET.county!N$1,ET.region!$A$51:$M$51,0))</f>
        <v>1.684251968503937</v>
      </c>
    </row>
    <row r="67" spans="1:14" x14ac:dyDescent="0.3">
      <c r="A67" t="s">
        <v>345</v>
      </c>
      <c r="B67" t="s">
        <v>395</v>
      </c>
      <c r="C67" s="5">
        <f>INDEX(ET.region!$A$51:$M$61,MATCH(ET.county!$B67,ET.region!$A$51:$A$61,0),MATCH(ET.county!C$1,ET.region!$A$51:$M$51,0))</f>
        <v>1.5255905511811025</v>
      </c>
      <c r="D67" s="5">
        <f>INDEX(ET.region!$A$51:$M$61,MATCH(ET.county!$B67,ET.region!$A$51:$A$61,0),MATCH(ET.county!D$1,ET.region!$A$51:$M$51,0))</f>
        <v>2.0173228346456695</v>
      </c>
      <c r="E67" s="5">
        <f>INDEX(ET.region!$A$51:$M$61,MATCH(ET.county!$B67,ET.region!$A$51:$A$61,0),MATCH(ET.county!E$1,ET.region!$A$51:$M$51,0))</f>
        <v>3.4905511811023624</v>
      </c>
      <c r="F67" s="5">
        <f>INDEX(ET.region!$A$51:$M$61,MATCH(ET.county!$B67,ET.region!$A$51:$A$61,0),MATCH(ET.county!F$1,ET.region!$A$51:$M$51,0))</f>
        <v>5.0551181102362204</v>
      </c>
      <c r="G67" s="5">
        <f>INDEX(ET.region!$A$51:$M$61,MATCH(ET.county!$B67,ET.region!$A$51:$A$61,0),MATCH(ET.county!G$1,ET.region!$A$51:$M$51,0))</f>
        <v>6.4318897637795267</v>
      </c>
      <c r="H67" s="5">
        <f>INDEX(ET.region!$A$51:$M$61,MATCH(ET.county!$B67,ET.region!$A$51:$A$61,0),MATCH(ET.county!H$1,ET.region!$A$51:$M$51,0))</f>
        <v>7.0748031496063</v>
      </c>
      <c r="I67" s="5">
        <f>INDEX(ET.region!$A$51:$M$61,MATCH(ET.county!$B67,ET.region!$A$51:$A$61,0),MATCH(ET.county!I$1,ET.region!$A$51:$M$51,0))</f>
        <v>7.359448818897639</v>
      </c>
      <c r="J67" s="5">
        <f>INDEX(ET.region!$A$51:$M$61,MATCH(ET.county!$B67,ET.region!$A$51:$A$61,0),MATCH(ET.county!J$1,ET.region!$A$51:$M$51,0))</f>
        <v>6.566141732283465</v>
      </c>
      <c r="K67" s="5">
        <f>INDEX(ET.region!$A$51:$M$61,MATCH(ET.county!$B67,ET.region!$A$51:$A$61,0),MATCH(ET.county!K$1,ET.region!$A$51:$M$51,0))</f>
        <v>4.9488188976377963</v>
      </c>
      <c r="L67" s="5">
        <f>INDEX(ET.region!$A$51:$M$61,MATCH(ET.county!$B67,ET.region!$A$51:$A$61,0),MATCH(ET.county!L$1,ET.region!$A$51:$M$51,0))</f>
        <v>3.5759842519685043</v>
      </c>
      <c r="M67" s="5">
        <f>INDEX(ET.region!$A$51:$M$61,MATCH(ET.county!$B67,ET.region!$A$51:$A$61,0),MATCH(ET.county!M$1,ET.region!$A$51:$M$51,0))</f>
        <v>2.1968503937007875</v>
      </c>
      <c r="N67" s="5">
        <f>INDEX(ET.region!$A$51:$M$61,MATCH(ET.county!$B67,ET.region!$A$51:$A$61,0),MATCH(ET.county!N$1,ET.region!$A$51:$M$51,0))</f>
        <v>1.5255905511811025</v>
      </c>
    </row>
    <row r="68" spans="1:14" x14ac:dyDescent="0.3">
      <c r="A68" t="s">
        <v>343</v>
      </c>
      <c r="B68" t="s">
        <v>386</v>
      </c>
      <c r="C68" s="5">
        <f>INDEX(ET.region!$A$51:$M$61,MATCH(ET.county!$B68,ET.region!$A$51:$A$61,0),MATCH(ET.county!C$1,ET.region!$A$51:$M$51,0))</f>
        <v>1.581</v>
      </c>
      <c r="D68" s="5">
        <f>INDEX(ET.region!$A$51:$M$61,MATCH(ET.county!$B68,ET.region!$A$51:$A$61,0),MATCH(ET.county!D$1,ET.region!$A$51:$M$51,0))</f>
        <v>1.9600000000000002</v>
      </c>
      <c r="E68" s="5">
        <f>INDEX(ET.region!$A$51:$M$61,MATCH(ET.county!$B68,ET.region!$A$51:$A$61,0),MATCH(ET.county!E$1,ET.region!$A$51:$M$51,0))</f>
        <v>3.2549999999999999</v>
      </c>
      <c r="F68" s="5">
        <f>INDEX(ET.region!$A$51:$M$61,MATCH(ET.county!$B68,ET.region!$A$51:$A$61,0),MATCH(ET.county!F$1,ET.region!$A$51:$M$51,0))</f>
        <v>4.59</v>
      </c>
      <c r="G68" s="5">
        <f>INDEX(ET.region!$A$51:$M$61,MATCH(ET.county!$B68,ET.region!$A$51:$A$61,0),MATCH(ET.county!G$1,ET.region!$A$51:$M$51,0))</f>
        <v>5.7969999999999997</v>
      </c>
      <c r="H68" s="5">
        <f>INDEX(ET.region!$A$51:$M$61,MATCH(ET.county!$B68,ET.region!$A$51:$A$61,0),MATCH(ET.county!H$1,ET.region!$A$51:$M$51,0))</f>
        <v>6.2399999999999993</v>
      </c>
      <c r="I68" s="5">
        <f>INDEX(ET.region!$A$51:$M$61,MATCH(ET.county!$B68,ET.region!$A$51:$A$61,0),MATCH(ET.county!I$1,ET.region!$A$51:$M$51,0))</f>
        <v>6.4790000000000001</v>
      </c>
      <c r="J68" s="5">
        <f>INDEX(ET.region!$A$51:$M$61,MATCH(ET.county!$B68,ET.region!$A$51:$A$61,0),MATCH(ET.county!J$1,ET.region!$A$51:$M$51,0))</f>
        <v>5.7350000000000003</v>
      </c>
      <c r="K68" s="5">
        <f>INDEX(ET.region!$A$51:$M$61,MATCH(ET.county!$B68,ET.region!$A$51:$A$61,0),MATCH(ET.county!K$1,ET.region!$A$51:$M$51,0))</f>
        <v>4.38</v>
      </c>
      <c r="L68" s="5">
        <f>INDEX(ET.region!$A$51:$M$61,MATCH(ET.county!$B68,ET.region!$A$51:$A$61,0),MATCH(ET.county!L$1,ET.region!$A$51:$M$51,0))</f>
        <v>3.2549999999999999</v>
      </c>
      <c r="M68" s="5">
        <f>INDEX(ET.region!$A$51:$M$61,MATCH(ET.county!$B68,ET.region!$A$51:$A$61,0),MATCH(ET.county!M$1,ET.region!$A$51:$M$51,0))</f>
        <v>2.0700000000000003</v>
      </c>
      <c r="N68" s="5">
        <f>INDEX(ET.region!$A$51:$M$61,MATCH(ET.county!$B68,ET.region!$A$51:$A$61,0),MATCH(ET.county!N$1,ET.region!$A$51:$M$51,0))</f>
        <v>1.55</v>
      </c>
    </row>
    <row r="69" spans="1:14" x14ac:dyDescent="0.3">
      <c r="A69" t="s">
        <v>321</v>
      </c>
      <c r="B69" t="s">
        <v>389</v>
      </c>
      <c r="C69" s="5">
        <f>INDEX(ET.region!$A$51:$M$61,MATCH(ET.county!$B69,ET.region!$A$51:$A$61,0),MATCH(ET.county!C$1,ET.region!$A$51:$M$51,0))</f>
        <v>1.562204724409449</v>
      </c>
      <c r="D69" s="5">
        <f>INDEX(ET.region!$A$51:$M$61,MATCH(ET.county!$B69,ET.region!$A$51:$A$61,0),MATCH(ET.county!D$1,ET.region!$A$51:$M$51,0))</f>
        <v>2.0503937007874016</v>
      </c>
      <c r="E69" s="5">
        <f>INDEX(ET.region!$A$51:$M$61,MATCH(ET.county!$B69,ET.region!$A$51:$A$61,0),MATCH(ET.county!E$1,ET.region!$A$51:$M$51,0))</f>
        <v>3.5027559055118114</v>
      </c>
      <c r="F69" s="5">
        <f>INDEX(ET.region!$A$51:$M$61,MATCH(ET.county!$B69,ET.region!$A$51:$A$61,0),MATCH(ET.county!F$1,ET.region!$A$51:$M$51,0))</f>
        <v>4.9370078740157481</v>
      </c>
      <c r="G69" s="5">
        <f>INDEX(ET.region!$A$51:$M$61,MATCH(ET.county!$B69,ET.region!$A$51:$A$61,0),MATCH(ET.county!G$1,ET.region!$A$51:$M$51,0))</f>
        <v>6.2122047244094487</v>
      </c>
      <c r="H69" s="5">
        <f>INDEX(ET.region!$A$51:$M$61,MATCH(ET.county!$B69,ET.region!$A$51:$A$61,0),MATCH(ET.county!H$1,ET.region!$A$51:$M$51,0))</f>
        <v>6.6968503937007879</v>
      </c>
      <c r="I69" s="5">
        <f>INDEX(ET.region!$A$51:$M$61,MATCH(ET.county!$B69,ET.region!$A$51:$A$61,0),MATCH(ET.county!I$1,ET.region!$A$51:$M$51,0))</f>
        <v>6.9444881889763792</v>
      </c>
      <c r="J69" s="5">
        <f>INDEX(ET.region!$A$51:$M$61,MATCH(ET.county!$B69,ET.region!$A$51:$A$61,0),MATCH(ET.county!J$1,ET.region!$A$51:$M$51,0))</f>
        <v>6.2122047244094487</v>
      </c>
      <c r="K69" s="5">
        <f>INDEX(ET.region!$A$51:$M$61,MATCH(ET.county!$B69,ET.region!$A$51:$A$61,0),MATCH(ET.county!K$1,ET.region!$A$51:$M$51,0))</f>
        <v>4.7598425196850407</v>
      </c>
      <c r="L69" s="5">
        <f>INDEX(ET.region!$A$51:$M$61,MATCH(ET.county!$B69,ET.region!$A$51:$A$61,0),MATCH(ET.county!L$1,ET.region!$A$51:$M$51,0))</f>
        <v>3.4417322834645669</v>
      </c>
      <c r="M69" s="5">
        <f>INDEX(ET.region!$A$51:$M$61,MATCH(ET.county!$B69,ET.region!$A$51:$A$61,0),MATCH(ET.county!M$1,ET.region!$A$51:$M$51,0))</f>
        <v>2.1496062992125986</v>
      </c>
      <c r="N69" s="5">
        <f>INDEX(ET.region!$A$51:$M$61,MATCH(ET.county!$B69,ET.region!$A$51:$A$61,0),MATCH(ET.county!N$1,ET.region!$A$51:$M$51,0))</f>
        <v>1.5133858267716536</v>
      </c>
    </row>
    <row r="70" spans="1:14" x14ac:dyDescent="0.3">
      <c r="A70" t="s">
        <v>310</v>
      </c>
      <c r="B70" t="s">
        <v>386</v>
      </c>
      <c r="C70" s="5">
        <f>INDEX(ET.region!$A$51:$M$61,MATCH(ET.county!$B70,ET.region!$A$51:$A$61,0),MATCH(ET.county!C$1,ET.region!$A$51:$M$51,0))</f>
        <v>1.581</v>
      </c>
      <c r="D70" s="5">
        <f>INDEX(ET.region!$A$51:$M$61,MATCH(ET.county!$B70,ET.region!$A$51:$A$61,0),MATCH(ET.county!D$1,ET.region!$A$51:$M$51,0))</f>
        <v>1.9600000000000002</v>
      </c>
      <c r="E70" s="5">
        <f>INDEX(ET.region!$A$51:$M$61,MATCH(ET.county!$B70,ET.region!$A$51:$A$61,0),MATCH(ET.county!E$1,ET.region!$A$51:$M$51,0))</f>
        <v>3.2549999999999999</v>
      </c>
      <c r="F70" s="5">
        <f>INDEX(ET.region!$A$51:$M$61,MATCH(ET.county!$B70,ET.region!$A$51:$A$61,0),MATCH(ET.county!F$1,ET.region!$A$51:$M$51,0))</f>
        <v>4.59</v>
      </c>
      <c r="G70" s="5">
        <f>INDEX(ET.region!$A$51:$M$61,MATCH(ET.county!$B70,ET.region!$A$51:$A$61,0),MATCH(ET.county!G$1,ET.region!$A$51:$M$51,0))</f>
        <v>5.7969999999999997</v>
      </c>
      <c r="H70" s="5">
        <f>INDEX(ET.region!$A$51:$M$61,MATCH(ET.county!$B70,ET.region!$A$51:$A$61,0),MATCH(ET.county!H$1,ET.region!$A$51:$M$51,0))</f>
        <v>6.2399999999999993</v>
      </c>
      <c r="I70" s="5">
        <f>INDEX(ET.region!$A$51:$M$61,MATCH(ET.county!$B70,ET.region!$A$51:$A$61,0),MATCH(ET.county!I$1,ET.region!$A$51:$M$51,0))</f>
        <v>6.4790000000000001</v>
      </c>
      <c r="J70" s="5">
        <f>INDEX(ET.region!$A$51:$M$61,MATCH(ET.county!$B70,ET.region!$A$51:$A$61,0),MATCH(ET.county!J$1,ET.region!$A$51:$M$51,0))</f>
        <v>5.7350000000000003</v>
      </c>
      <c r="K70" s="5">
        <f>INDEX(ET.region!$A$51:$M$61,MATCH(ET.county!$B70,ET.region!$A$51:$A$61,0),MATCH(ET.county!K$1,ET.region!$A$51:$M$51,0))</f>
        <v>4.38</v>
      </c>
      <c r="L70" s="5">
        <f>INDEX(ET.region!$A$51:$M$61,MATCH(ET.county!$B70,ET.region!$A$51:$A$61,0),MATCH(ET.county!L$1,ET.region!$A$51:$M$51,0))</f>
        <v>3.2549999999999999</v>
      </c>
      <c r="M70" s="5">
        <f>INDEX(ET.region!$A$51:$M$61,MATCH(ET.county!$B70,ET.region!$A$51:$A$61,0),MATCH(ET.county!M$1,ET.region!$A$51:$M$51,0))</f>
        <v>2.0700000000000003</v>
      </c>
      <c r="N70" s="5">
        <f>INDEX(ET.region!$A$51:$M$61,MATCH(ET.county!$B70,ET.region!$A$51:$A$61,0),MATCH(ET.county!N$1,ET.region!$A$51:$M$51,0))</f>
        <v>1.55</v>
      </c>
    </row>
    <row r="71" spans="1:14" x14ac:dyDescent="0.3">
      <c r="A71" t="s">
        <v>332</v>
      </c>
      <c r="B71" t="s">
        <v>395</v>
      </c>
      <c r="C71" s="5">
        <f>INDEX(ET.region!$A$51:$M$61,MATCH(ET.county!$B71,ET.region!$A$51:$A$61,0),MATCH(ET.county!C$1,ET.region!$A$51:$M$51,0))</f>
        <v>1.5255905511811025</v>
      </c>
      <c r="D71" s="5">
        <f>INDEX(ET.region!$A$51:$M$61,MATCH(ET.county!$B71,ET.region!$A$51:$A$61,0),MATCH(ET.county!D$1,ET.region!$A$51:$M$51,0))</f>
        <v>2.0173228346456695</v>
      </c>
      <c r="E71" s="5">
        <f>INDEX(ET.region!$A$51:$M$61,MATCH(ET.county!$B71,ET.region!$A$51:$A$61,0),MATCH(ET.county!E$1,ET.region!$A$51:$M$51,0))</f>
        <v>3.4905511811023624</v>
      </c>
      <c r="F71" s="5">
        <f>INDEX(ET.region!$A$51:$M$61,MATCH(ET.county!$B71,ET.region!$A$51:$A$61,0),MATCH(ET.county!F$1,ET.region!$A$51:$M$51,0))</f>
        <v>5.0551181102362204</v>
      </c>
      <c r="G71" s="5">
        <f>INDEX(ET.region!$A$51:$M$61,MATCH(ET.county!$B71,ET.region!$A$51:$A$61,0),MATCH(ET.county!G$1,ET.region!$A$51:$M$51,0))</f>
        <v>6.4318897637795267</v>
      </c>
      <c r="H71" s="5">
        <f>INDEX(ET.region!$A$51:$M$61,MATCH(ET.county!$B71,ET.region!$A$51:$A$61,0),MATCH(ET.county!H$1,ET.region!$A$51:$M$51,0))</f>
        <v>7.0748031496063</v>
      </c>
      <c r="I71" s="5">
        <f>INDEX(ET.region!$A$51:$M$61,MATCH(ET.county!$B71,ET.region!$A$51:$A$61,0),MATCH(ET.county!I$1,ET.region!$A$51:$M$51,0))</f>
        <v>7.359448818897639</v>
      </c>
      <c r="J71" s="5">
        <f>INDEX(ET.region!$A$51:$M$61,MATCH(ET.county!$B71,ET.region!$A$51:$A$61,0),MATCH(ET.county!J$1,ET.region!$A$51:$M$51,0))</f>
        <v>6.566141732283465</v>
      </c>
      <c r="K71" s="5">
        <f>INDEX(ET.region!$A$51:$M$61,MATCH(ET.county!$B71,ET.region!$A$51:$A$61,0),MATCH(ET.county!K$1,ET.region!$A$51:$M$51,0))</f>
        <v>4.9488188976377963</v>
      </c>
      <c r="L71" s="5">
        <f>INDEX(ET.region!$A$51:$M$61,MATCH(ET.county!$B71,ET.region!$A$51:$A$61,0),MATCH(ET.county!L$1,ET.region!$A$51:$M$51,0))</f>
        <v>3.5759842519685043</v>
      </c>
      <c r="M71" s="5">
        <f>INDEX(ET.region!$A$51:$M$61,MATCH(ET.county!$B71,ET.region!$A$51:$A$61,0),MATCH(ET.county!M$1,ET.region!$A$51:$M$51,0))</f>
        <v>2.1968503937007875</v>
      </c>
      <c r="N71" s="5">
        <f>INDEX(ET.region!$A$51:$M$61,MATCH(ET.county!$B71,ET.region!$A$51:$A$61,0),MATCH(ET.county!N$1,ET.region!$A$51:$M$51,0))</f>
        <v>1.5255905511811025</v>
      </c>
    </row>
    <row r="72" spans="1:14" x14ac:dyDescent="0.3">
      <c r="A72" t="s">
        <v>372</v>
      </c>
      <c r="B72" t="s">
        <v>388</v>
      </c>
      <c r="C72" s="5">
        <f>INDEX(ET.region!$A$51:$M$61,MATCH(ET.county!$B72,ET.region!$A$51:$A$61,0),MATCH(ET.county!C$1,ET.region!$A$51:$M$51,0))</f>
        <v>1.6964566929133857</v>
      </c>
      <c r="D72" s="5">
        <f>INDEX(ET.region!$A$51:$M$61,MATCH(ET.county!$B72,ET.region!$A$51:$A$61,0),MATCH(ET.county!D$1,ET.region!$A$51:$M$51,0))</f>
        <v>2.1496062992125986</v>
      </c>
      <c r="E72" s="5">
        <f>INDEX(ET.region!$A$51:$M$61,MATCH(ET.county!$B72,ET.region!$A$51:$A$61,0),MATCH(ET.county!E$1,ET.region!$A$51:$M$51,0))</f>
        <v>3.6248031496062993</v>
      </c>
      <c r="F72" s="5">
        <f>INDEX(ET.region!$A$51:$M$61,MATCH(ET.county!$B72,ET.region!$A$51:$A$61,0),MATCH(ET.county!F$1,ET.region!$A$51:$M$51,0))</f>
        <v>4.9724409448818898</v>
      </c>
      <c r="G72" s="5">
        <f>INDEX(ET.region!$A$51:$M$61,MATCH(ET.county!$B72,ET.region!$A$51:$A$61,0),MATCH(ET.county!G$1,ET.region!$A$51:$M$51,0))</f>
        <v>6.2976377952755911</v>
      </c>
      <c r="H72" s="5">
        <f>INDEX(ET.region!$A$51:$M$61,MATCH(ET.county!$B72,ET.region!$A$51:$A$61,0),MATCH(ET.county!H$1,ET.region!$A$51:$M$51,0))</f>
        <v>6.6141732283464565</v>
      </c>
      <c r="I72" s="5">
        <f>INDEX(ET.region!$A$51:$M$61,MATCH(ET.county!$B72,ET.region!$A$51:$A$61,0),MATCH(ET.county!I$1,ET.region!$A$51:$M$51,0))</f>
        <v>6.8590551181102368</v>
      </c>
      <c r="J72" s="5">
        <f>INDEX(ET.region!$A$51:$M$61,MATCH(ET.county!$B72,ET.region!$A$51:$A$61,0),MATCH(ET.county!J$1,ET.region!$A$51:$M$51,0))</f>
        <v>6.1755905511811022</v>
      </c>
      <c r="K72" s="5">
        <f>INDEX(ET.region!$A$51:$M$61,MATCH(ET.county!$B72,ET.region!$A$51:$A$61,0),MATCH(ET.county!K$1,ET.region!$A$51:$M$51,0))</f>
        <v>4.8661417322834648</v>
      </c>
      <c r="L72" s="5">
        <f>INDEX(ET.region!$A$51:$M$61,MATCH(ET.county!$B72,ET.region!$A$51:$A$61,0),MATCH(ET.county!L$1,ET.region!$A$51:$M$51,0))</f>
        <v>3.6370078740157483</v>
      </c>
      <c r="M72" s="5">
        <f>INDEX(ET.region!$A$51:$M$61,MATCH(ET.county!$B72,ET.region!$A$51:$A$61,0),MATCH(ET.county!M$1,ET.region!$A$51:$M$51,0))</f>
        <v>2.3622047244094486</v>
      </c>
      <c r="N72" s="5">
        <f>INDEX(ET.region!$A$51:$M$61,MATCH(ET.county!$B72,ET.region!$A$51:$A$61,0),MATCH(ET.county!N$1,ET.region!$A$51:$M$51,0))</f>
        <v>1.684251968503937</v>
      </c>
    </row>
    <row r="73" spans="1:14" x14ac:dyDescent="0.3">
      <c r="A73" t="s">
        <v>714</v>
      </c>
      <c r="B73" t="s">
        <v>395</v>
      </c>
      <c r="C73" s="5">
        <f>INDEX(ET.region!$A$51:$M$61,MATCH(ET.county!$B73,ET.region!$A$51:$A$61,0),MATCH(ET.county!C$1,ET.region!$A$51:$M$51,0))</f>
        <v>1.5255905511811025</v>
      </c>
      <c r="D73" s="5">
        <f>INDEX(ET.region!$A$51:$M$61,MATCH(ET.county!$B73,ET.region!$A$51:$A$61,0),MATCH(ET.county!D$1,ET.region!$A$51:$M$51,0))</f>
        <v>2.0173228346456695</v>
      </c>
      <c r="E73" s="5">
        <f>INDEX(ET.region!$A$51:$M$61,MATCH(ET.county!$B73,ET.region!$A$51:$A$61,0),MATCH(ET.county!E$1,ET.region!$A$51:$M$51,0))</f>
        <v>3.4905511811023624</v>
      </c>
      <c r="F73" s="5">
        <f>INDEX(ET.region!$A$51:$M$61,MATCH(ET.county!$B73,ET.region!$A$51:$A$61,0),MATCH(ET.county!F$1,ET.region!$A$51:$M$51,0))</f>
        <v>5.0551181102362204</v>
      </c>
      <c r="G73" s="5">
        <f>INDEX(ET.region!$A$51:$M$61,MATCH(ET.county!$B73,ET.region!$A$51:$A$61,0),MATCH(ET.county!G$1,ET.region!$A$51:$M$51,0))</f>
        <v>6.4318897637795267</v>
      </c>
      <c r="H73" s="5">
        <f>INDEX(ET.region!$A$51:$M$61,MATCH(ET.county!$B73,ET.region!$A$51:$A$61,0),MATCH(ET.county!H$1,ET.region!$A$51:$M$51,0))</f>
        <v>7.0748031496063</v>
      </c>
      <c r="I73" s="5">
        <f>INDEX(ET.region!$A$51:$M$61,MATCH(ET.county!$B73,ET.region!$A$51:$A$61,0),MATCH(ET.county!I$1,ET.region!$A$51:$M$51,0))</f>
        <v>7.359448818897639</v>
      </c>
      <c r="J73" s="5">
        <f>INDEX(ET.region!$A$51:$M$61,MATCH(ET.county!$B73,ET.region!$A$51:$A$61,0),MATCH(ET.county!J$1,ET.region!$A$51:$M$51,0))</f>
        <v>6.566141732283465</v>
      </c>
      <c r="K73" s="5">
        <f>INDEX(ET.region!$A$51:$M$61,MATCH(ET.county!$B73,ET.region!$A$51:$A$61,0),MATCH(ET.county!K$1,ET.region!$A$51:$M$51,0))</f>
        <v>4.9488188976377963</v>
      </c>
      <c r="L73" s="5">
        <f>INDEX(ET.region!$A$51:$M$61,MATCH(ET.county!$B73,ET.region!$A$51:$A$61,0),MATCH(ET.county!L$1,ET.region!$A$51:$M$51,0))</f>
        <v>3.5759842519685043</v>
      </c>
      <c r="M73" s="5">
        <f>INDEX(ET.region!$A$51:$M$61,MATCH(ET.county!$B73,ET.region!$A$51:$A$61,0),MATCH(ET.county!M$1,ET.region!$A$51:$M$51,0))</f>
        <v>2.1968503937007875</v>
      </c>
      <c r="N73" s="5">
        <f>INDEX(ET.region!$A$51:$M$61,MATCH(ET.county!$B73,ET.region!$A$51:$A$61,0),MATCH(ET.county!N$1,ET.region!$A$51:$M$51,0))</f>
        <v>1.5255905511811025</v>
      </c>
    </row>
    <row r="74" spans="1:14" x14ac:dyDescent="0.3">
      <c r="A74" t="s">
        <v>366</v>
      </c>
      <c r="B74" t="s">
        <v>391</v>
      </c>
      <c r="C74" s="5">
        <f>INDEX(ET.region!$A$51:$M$61,MATCH(ET.county!$B74,ET.region!$A$51:$A$61,0),MATCH(ET.county!C$1,ET.region!$A$51:$M$51,0))</f>
        <v>1.3425196850393704</v>
      </c>
      <c r="D74" s="5">
        <f>INDEX(ET.region!$A$51:$M$61,MATCH(ET.county!$B74,ET.region!$A$51:$A$61,0),MATCH(ET.county!D$1,ET.region!$A$51:$M$51,0))</f>
        <v>1.7637795275590555</v>
      </c>
      <c r="E74" s="5">
        <f>INDEX(ET.region!$A$51:$M$61,MATCH(ET.county!$B74,ET.region!$A$51:$A$61,0),MATCH(ET.county!E$1,ET.region!$A$51:$M$51,0))</f>
        <v>3.0877952755905511</v>
      </c>
      <c r="F74" s="5">
        <f>INDEX(ET.region!$A$51:$M$61,MATCH(ET.county!$B74,ET.region!$A$51:$A$61,0),MATCH(ET.county!F$1,ET.region!$A$51:$M$51,0))</f>
        <v>4.4763779527559056</v>
      </c>
      <c r="G74" s="5">
        <f>INDEX(ET.region!$A$51:$M$61,MATCH(ET.county!$B74,ET.region!$A$51:$A$61,0),MATCH(ET.county!G$1,ET.region!$A$51:$M$51,0))</f>
        <v>5.8216535433070868</v>
      </c>
      <c r="H74" s="5">
        <f>INDEX(ET.region!$A$51:$M$61,MATCH(ET.county!$B74,ET.region!$A$51:$A$61,0),MATCH(ET.county!H$1,ET.region!$A$51:$M$51,0))</f>
        <v>6.4842519685039379</v>
      </c>
      <c r="I74" s="5">
        <f>INDEX(ET.region!$A$51:$M$61,MATCH(ET.county!$B74,ET.region!$A$51:$A$61,0),MATCH(ET.county!I$1,ET.region!$A$51:$M$51,0))</f>
        <v>6.8346456692913389</v>
      </c>
      <c r="J74" s="5">
        <f>INDEX(ET.region!$A$51:$M$61,MATCH(ET.county!$B74,ET.region!$A$51:$A$61,0),MATCH(ET.county!J$1,ET.region!$A$51:$M$51,0))</f>
        <v>6.1267716535433072</v>
      </c>
      <c r="K74" s="5">
        <f>INDEX(ET.region!$A$51:$M$61,MATCH(ET.county!$B74,ET.region!$A$51:$A$61,0),MATCH(ET.county!K$1,ET.region!$A$51:$M$51,0))</f>
        <v>4.5826771653543314</v>
      </c>
      <c r="L74" s="5">
        <f>INDEX(ET.region!$A$51:$M$61,MATCH(ET.county!$B74,ET.region!$A$51:$A$61,0),MATCH(ET.county!L$1,ET.region!$A$51:$M$51,0))</f>
        <v>3.246456692913386</v>
      </c>
      <c r="M74" s="5">
        <f>INDEX(ET.region!$A$51:$M$61,MATCH(ET.county!$B74,ET.region!$A$51:$A$61,0),MATCH(ET.county!M$1,ET.region!$A$51:$M$51,0))</f>
        <v>1.9488188976377951</v>
      </c>
      <c r="N74" s="5">
        <f>INDEX(ET.region!$A$51:$M$61,MATCH(ET.county!$B74,ET.region!$A$51:$A$61,0),MATCH(ET.county!N$1,ET.region!$A$51:$M$51,0))</f>
        <v>1.3181102362204726</v>
      </c>
    </row>
    <row r="75" spans="1:14" x14ac:dyDescent="0.3">
      <c r="A75" t="s">
        <v>340</v>
      </c>
      <c r="B75" t="s">
        <v>387</v>
      </c>
      <c r="C75" s="5">
        <f>INDEX(ET.region!$A$51:$M$61,MATCH(ET.county!$B75,ET.region!$A$51:$A$61,0),MATCH(ET.county!C$1,ET.region!$A$51:$M$51,0))</f>
        <v>1.5744094488188978</v>
      </c>
      <c r="D75" s="5">
        <f>INDEX(ET.region!$A$51:$M$61,MATCH(ET.county!$B75,ET.region!$A$51:$A$61,0),MATCH(ET.county!D$1,ET.region!$A$51:$M$51,0))</f>
        <v>2.0173228346456695</v>
      </c>
      <c r="E75" s="5">
        <f>INDEX(ET.region!$A$51:$M$61,MATCH(ET.county!$B75,ET.region!$A$51:$A$61,0),MATCH(ET.county!E$1,ET.region!$A$51:$M$51,0))</f>
        <v>3.4661417322834644</v>
      </c>
      <c r="F75" s="5">
        <f>INDEX(ET.region!$A$51:$M$61,MATCH(ET.county!$B75,ET.region!$A$51:$A$61,0),MATCH(ET.county!F$1,ET.region!$A$51:$M$51,0))</f>
        <v>4.877952755905512</v>
      </c>
      <c r="G75" s="5">
        <f>INDEX(ET.region!$A$51:$M$61,MATCH(ET.county!$B75,ET.region!$A$51:$A$61,0),MATCH(ET.county!G$1,ET.region!$A$51:$M$51,0))</f>
        <v>6.2976377952755911</v>
      </c>
      <c r="H75" s="5">
        <f>INDEX(ET.region!$A$51:$M$61,MATCH(ET.county!$B75,ET.region!$A$51:$A$61,0),MATCH(ET.county!H$1,ET.region!$A$51:$M$51,0))</f>
        <v>6.6968503937007879</v>
      </c>
      <c r="I75" s="5">
        <f>INDEX(ET.region!$A$51:$M$61,MATCH(ET.county!$B75,ET.region!$A$51:$A$61,0),MATCH(ET.county!I$1,ET.region!$A$51:$M$51,0))</f>
        <v>6.8346456692913389</v>
      </c>
      <c r="J75" s="5">
        <f>INDEX(ET.region!$A$51:$M$61,MATCH(ET.county!$B75,ET.region!$A$51:$A$61,0),MATCH(ET.county!J$1,ET.region!$A$51:$M$51,0))</f>
        <v>6.1145669291338578</v>
      </c>
      <c r="K75" s="5">
        <f>INDEX(ET.region!$A$51:$M$61,MATCH(ET.county!$B75,ET.region!$A$51:$A$61,0),MATCH(ET.county!K$1,ET.region!$A$51:$M$51,0))</f>
        <v>4.7125984251968509</v>
      </c>
      <c r="L75" s="5">
        <f>INDEX(ET.region!$A$51:$M$61,MATCH(ET.county!$B75,ET.region!$A$51:$A$61,0),MATCH(ET.county!L$1,ET.region!$A$51:$M$51,0))</f>
        <v>3.4661417322834644</v>
      </c>
      <c r="M75" s="5">
        <f>INDEX(ET.region!$A$51:$M$61,MATCH(ET.county!$B75,ET.region!$A$51:$A$61,0),MATCH(ET.county!M$1,ET.region!$A$51:$M$51,0))</f>
        <v>2.1968503937007875</v>
      </c>
      <c r="N75" s="5">
        <f>INDEX(ET.region!$A$51:$M$61,MATCH(ET.county!$B75,ET.region!$A$51:$A$61,0),MATCH(ET.county!N$1,ET.region!$A$51:$M$51,0))</f>
        <v>1.55</v>
      </c>
    </row>
    <row r="76" spans="1:14" x14ac:dyDescent="0.3">
      <c r="A76" t="s">
        <v>376</v>
      </c>
      <c r="B76" t="s">
        <v>393</v>
      </c>
      <c r="C76" s="5">
        <f>INDEX(ET.region!$A$51:$M$61,MATCH(ET.county!$B76,ET.region!$A$51:$A$61,0),MATCH(ET.county!C$1,ET.region!$A$51:$M$51,0))</f>
        <v>1.4523622047244096</v>
      </c>
      <c r="D76" s="5">
        <f>INDEX(ET.region!$A$51:$M$61,MATCH(ET.county!$B76,ET.region!$A$51:$A$61,0),MATCH(ET.county!D$1,ET.region!$A$51:$M$51,0))</f>
        <v>1.8850393700787402</v>
      </c>
      <c r="E76" s="5">
        <f>INDEX(ET.region!$A$51:$M$61,MATCH(ET.county!$B76,ET.region!$A$51:$A$61,0),MATCH(ET.county!E$1,ET.region!$A$51:$M$51,0))</f>
        <v>3.1610236220472441</v>
      </c>
      <c r="F76" s="5">
        <f>INDEX(ET.region!$A$51:$M$61,MATCH(ET.county!$B76,ET.region!$A$51:$A$61,0),MATCH(ET.county!F$1,ET.region!$A$51:$M$51,0))</f>
        <v>4.346456692913387</v>
      </c>
      <c r="G76" s="5">
        <f>INDEX(ET.region!$A$51:$M$61,MATCH(ET.county!$B76,ET.region!$A$51:$A$61,0),MATCH(ET.county!G$1,ET.region!$A$51:$M$51,0))</f>
        <v>5.333464566929135</v>
      </c>
      <c r="H76" s="5">
        <f>INDEX(ET.region!$A$51:$M$61,MATCH(ET.county!$B76,ET.region!$A$51:$A$61,0),MATCH(ET.county!H$1,ET.region!$A$51:$M$51,0))</f>
        <v>5.5748031496062991</v>
      </c>
      <c r="I76" s="5">
        <f>INDEX(ET.region!$A$51:$M$61,MATCH(ET.county!$B76,ET.region!$A$51:$A$61,0),MATCH(ET.county!I$1,ET.region!$A$51:$M$51,0))</f>
        <v>5.6751968503937018</v>
      </c>
      <c r="J76" s="5">
        <f>INDEX(ET.region!$A$51:$M$61,MATCH(ET.county!$B76,ET.region!$A$51:$A$61,0),MATCH(ET.county!J$1,ET.region!$A$51:$M$51,0))</f>
        <v>5.0893700787401581</v>
      </c>
      <c r="K76" s="5">
        <f>INDEX(ET.region!$A$51:$M$61,MATCH(ET.county!$B76,ET.region!$A$51:$A$61,0),MATCH(ET.county!K$1,ET.region!$A$51:$M$51,0))</f>
        <v>4.015748031496063</v>
      </c>
      <c r="L76" s="5">
        <f>INDEX(ET.region!$A$51:$M$61,MATCH(ET.county!$B76,ET.region!$A$51:$A$61,0),MATCH(ET.county!L$1,ET.region!$A$51:$M$51,0))</f>
        <v>3.0633858267716536</v>
      </c>
      <c r="M76" s="5">
        <f>INDEX(ET.region!$A$51:$M$61,MATCH(ET.county!$B76,ET.region!$A$51:$A$61,0),MATCH(ET.county!M$1,ET.region!$A$51:$M$51,0))</f>
        <v>1.9606299212598426</v>
      </c>
      <c r="N76" s="5">
        <f>INDEX(ET.region!$A$51:$M$61,MATCH(ET.county!$B76,ET.region!$A$51:$A$61,0),MATCH(ET.county!N$1,ET.region!$A$51:$M$51,0))</f>
        <v>1.3913385826771654</v>
      </c>
    </row>
    <row r="77" spans="1:14" x14ac:dyDescent="0.3">
      <c r="A77" t="s">
        <v>305</v>
      </c>
      <c r="B77" t="s">
        <v>392</v>
      </c>
      <c r="C77" s="5">
        <f>INDEX(ET.region!$A$51:$M$61,MATCH(ET.county!$B77,ET.region!$A$51:$A$61,0),MATCH(ET.county!C$1,ET.region!$A$51:$M$51,0))</f>
        <v>1.4889763779527558</v>
      </c>
      <c r="D77" s="5">
        <f>INDEX(ET.region!$A$51:$M$61,MATCH(ET.county!$B77,ET.region!$A$51:$A$61,0),MATCH(ET.county!D$1,ET.region!$A$51:$M$51,0))</f>
        <v>1.9401574803149606</v>
      </c>
      <c r="E77" s="5">
        <f>INDEX(ET.region!$A$51:$M$61,MATCH(ET.county!$B77,ET.region!$A$51:$A$61,0),MATCH(ET.county!E$1,ET.region!$A$51:$M$51,0))</f>
        <v>3.2952755905511819</v>
      </c>
      <c r="F77" s="5">
        <f>INDEX(ET.region!$A$51:$M$61,MATCH(ET.county!$B77,ET.region!$A$51:$A$61,0),MATCH(ET.county!F$1,ET.region!$A$51:$M$51,0))</f>
        <v>4.7007874015748037</v>
      </c>
      <c r="G77" s="5">
        <f>INDEX(ET.region!$A$51:$M$61,MATCH(ET.county!$B77,ET.region!$A$51:$A$61,0),MATCH(ET.county!G$1,ET.region!$A$51:$M$51,0))</f>
        <v>6.0169291338582678</v>
      </c>
      <c r="H77" s="5">
        <f>INDEX(ET.region!$A$51:$M$61,MATCH(ET.county!$B77,ET.region!$A$51:$A$61,0),MATCH(ET.county!H$1,ET.region!$A$51:$M$51,0))</f>
        <v>6.6496062992125982</v>
      </c>
      <c r="I77" s="5">
        <f>INDEX(ET.region!$A$51:$M$61,MATCH(ET.county!$B77,ET.region!$A$51:$A$61,0),MATCH(ET.county!I$1,ET.region!$A$51:$M$51,0))</f>
        <v>6.9322834645669289</v>
      </c>
      <c r="J77" s="5">
        <f>INDEX(ET.region!$A$51:$M$61,MATCH(ET.county!$B77,ET.region!$A$51:$A$61,0),MATCH(ET.county!J$1,ET.region!$A$51:$M$51,0))</f>
        <v>6.1755905511811022</v>
      </c>
      <c r="K77" s="5">
        <f>INDEX(ET.region!$A$51:$M$61,MATCH(ET.county!$B77,ET.region!$A$51:$A$61,0),MATCH(ET.county!K$1,ET.region!$A$51:$M$51,0))</f>
        <v>4.7125984251968509</v>
      </c>
      <c r="L77" s="5">
        <f>INDEX(ET.region!$A$51:$M$61,MATCH(ET.county!$B77,ET.region!$A$51:$A$61,0),MATCH(ET.county!L$1,ET.region!$A$51:$M$51,0))</f>
        <v>3.4173228346456694</v>
      </c>
      <c r="M77" s="5">
        <f>INDEX(ET.region!$A$51:$M$61,MATCH(ET.county!$B77,ET.region!$A$51:$A$61,0),MATCH(ET.county!M$1,ET.region!$A$51:$M$51,0))</f>
        <v>2.1141732283464569</v>
      </c>
      <c r="N77" s="5">
        <f>INDEX(ET.region!$A$51:$M$61,MATCH(ET.county!$B77,ET.region!$A$51:$A$61,0),MATCH(ET.county!N$1,ET.region!$A$51:$M$51,0))</f>
        <v>1.4523622047244096</v>
      </c>
    </row>
    <row r="78" spans="1:14" x14ac:dyDescent="0.3">
      <c r="A78" t="s">
        <v>341</v>
      </c>
      <c r="B78" t="s">
        <v>390</v>
      </c>
      <c r="C78" s="5">
        <f>INDEX(ET.region!$A$51:$M$61,MATCH(ET.county!$B78,ET.region!$A$51:$A$61,0),MATCH(ET.county!C$1,ET.region!$A$51:$M$51,0))</f>
        <v>1.5011811023622048</v>
      </c>
      <c r="D78" s="5">
        <f>INDEX(ET.region!$A$51:$M$61,MATCH(ET.county!$B78,ET.region!$A$51:$A$61,0),MATCH(ET.county!D$1,ET.region!$A$51:$M$51,0))</f>
        <v>1.9622047244094489</v>
      </c>
      <c r="E78" s="5">
        <f>INDEX(ET.region!$A$51:$M$61,MATCH(ET.county!$B78,ET.region!$A$51:$A$61,0),MATCH(ET.county!E$1,ET.region!$A$51:$M$51,0))</f>
        <v>3.4051181102362205</v>
      </c>
      <c r="F78" s="5">
        <f>INDEX(ET.region!$A$51:$M$61,MATCH(ET.county!$B78,ET.region!$A$51:$A$61,0),MATCH(ET.county!F$1,ET.region!$A$51:$M$51,0))</f>
        <v>4.8661417322834648</v>
      </c>
      <c r="G78" s="5">
        <f>INDEX(ET.region!$A$51:$M$61,MATCH(ET.county!$B78,ET.region!$A$51:$A$61,0),MATCH(ET.county!G$1,ET.region!$A$51:$M$51,0))</f>
        <v>6.1755905511811022</v>
      </c>
      <c r="H78" s="5">
        <f>INDEX(ET.region!$A$51:$M$61,MATCH(ET.county!$B78,ET.region!$A$51:$A$61,0),MATCH(ET.county!H$1,ET.region!$A$51:$M$51,0))</f>
        <v>6.7440944881889759</v>
      </c>
      <c r="I78" s="5">
        <f>INDEX(ET.region!$A$51:$M$61,MATCH(ET.county!$B78,ET.region!$A$51:$A$61,0),MATCH(ET.county!I$1,ET.region!$A$51:$M$51,0))</f>
        <v>7.0055118110236227</v>
      </c>
      <c r="J78" s="5">
        <f>INDEX(ET.region!$A$51:$M$61,MATCH(ET.county!$B78,ET.region!$A$51:$A$61,0),MATCH(ET.county!J$1,ET.region!$A$51:$M$51,0))</f>
        <v>6.2244094488188981</v>
      </c>
      <c r="K78" s="5">
        <f>INDEX(ET.region!$A$51:$M$61,MATCH(ET.county!$B78,ET.region!$A$51:$A$61,0),MATCH(ET.county!K$1,ET.region!$A$51:$M$51,0))</f>
        <v>4.771653543307087</v>
      </c>
      <c r="L78" s="5">
        <f>INDEX(ET.region!$A$51:$M$61,MATCH(ET.county!$B78,ET.region!$A$51:$A$61,0),MATCH(ET.county!L$1,ET.region!$A$51:$M$51,0))</f>
        <v>3.4051181102362205</v>
      </c>
      <c r="M78" s="5">
        <f>INDEX(ET.region!$A$51:$M$61,MATCH(ET.county!$B78,ET.region!$A$51:$A$61,0),MATCH(ET.county!M$1,ET.region!$A$51:$M$51,0))</f>
        <v>2.0905511811023625</v>
      </c>
      <c r="N78" s="5">
        <f>INDEX(ET.region!$A$51:$M$61,MATCH(ET.county!$B78,ET.region!$A$51:$A$61,0),MATCH(ET.county!N$1,ET.region!$A$51:$M$51,0))</f>
        <v>1.4889763779527558</v>
      </c>
    </row>
    <row r="79" spans="1:14" x14ac:dyDescent="0.3">
      <c r="A79" t="s">
        <v>353</v>
      </c>
      <c r="B79" t="s">
        <v>388</v>
      </c>
      <c r="C79" s="5">
        <f>INDEX(ET.region!$A$51:$M$61,MATCH(ET.county!$B79,ET.region!$A$51:$A$61,0),MATCH(ET.county!C$1,ET.region!$A$51:$M$51,0))</f>
        <v>1.6964566929133857</v>
      </c>
      <c r="D79" s="5">
        <f>INDEX(ET.region!$A$51:$M$61,MATCH(ET.county!$B79,ET.region!$A$51:$A$61,0),MATCH(ET.county!D$1,ET.region!$A$51:$M$51,0))</f>
        <v>2.1496062992125986</v>
      </c>
      <c r="E79" s="5">
        <f>INDEX(ET.region!$A$51:$M$61,MATCH(ET.county!$B79,ET.region!$A$51:$A$61,0),MATCH(ET.county!E$1,ET.region!$A$51:$M$51,0))</f>
        <v>3.6248031496062993</v>
      </c>
      <c r="F79" s="5">
        <f>INDEX(ET.region!$A$51:$M$61,MATCH(ET.county!$B79,ET.region!$A$51:$A$61,0),MATCH(ET.county!F$1,ET.region!$A$51:$M$51,0))</f>
        <v>4.9724409448818898</v>
      </c>
      <c r="G79" s="5">
        <f>INDEX(ET.region!$A$51:$M$61,MATCH(ET.county!$B79,ET.region!$A$51:$A$61,0),MATCH(ET.county!G$1,ET.region!$A$51:$M$51,0))</f>
        <v>6.2976377952755911</v>
      </c>
      <c r="H79" s="5">
        <f>INDEX(ET.region!$A$51:$M$61,MATCH(ET.county!$B79,ET.region!$A$51:$A$61,0),MATCH(ET.county!H$1,ET.region!$A$51:$M$51,0))</f>
        <v>6.6141732283464565</v>
      </c>
      <c r="I79" s="5">
        <f>INDEX(ET.region!$A$51:$M$61,MATCH(ET.county!$B79,ET.region!$A$51:$A$61,0),MATCH(ET.county!I$1,ET.region!$A$51:$M$51,0))</f>
        <v>6.8590551181102368</v>
      </c>
      <c r="J79" s="5">
        <f>INDEX(ET.region!$A$51:$M$61,MATCH(ET.county!$B79,ET.region!$A$51:$A$61,0),MATCH(ET.county!J$1,ET.region!$A$51:$M$51,0))</f>
        <v>6.1755905511811022</v>
      </c>
      <c r="K79" s="5">
        <f>INDEX(ET.region!$A$51:$M$61,MATCH(ET.county!$B79,ET.region!$A$51:$A$61,0),MATCH(ET.county!K$1,ET.region!$A$51:$M$51,0))</f>
        <v>4.8661417322834648</v>
      </c>
      <c r="L79" s="5">
        <f>INDEX(ET.region!$A$51:$M$61,MATCH(ET.county!$B79,ET.region!$A$51:$A$61,0),MATCH(ET.county!L$1,ET.region!$A$51:$M$51,0))</f>
        <v>3.6370078740157483</v>
      </c>
      <c r="M79" s="5">
        <f>INDEX(ET.region!$A$51:$M$61,MATCH(ET.county!$B79,ET.region!$A$51:$A$61,0),MATCH(ET.county!M$1,ET.region!$A$51:$M$51,0))</f>
        <v>2.3622047244094486</v>
      </c>
      <c r="N79" s="5">
        <f>INDEX(ET.region!$A$51:$M$61,MATCH(ET.county!$B79,ET.region!$A$51:$A$61,0),MATCH(ET.county!N$1,ET.region!$A$51:$M$51,0))</f>
        <v>1.684251968503937</v>
      </c>
    </row>
    <row r="80" spans="1:14" x14ac:dyDescent="0.3">
      <c r="A80" t="s">
        <v>330</v>
      </c>
      <c r="B80" t="s">
        <v>391</v>
      </c>
      <c r="C80" s="5">
        <f>INDEX(ET.region!$A$51:$M$61,MATCH(ET.county!$B80,ET.region!$A$51:$A$61,0),MATCH(ET.county!C$1,ET.region!$A$51:$M$51,0))</f>
        <v>1.3425196850393704</v>
      </c>
      <c r="D80" s="5">
        <f>INDEX(ET.region!$A$51:$M$61,MATCH(ET.county!$B80,ET.region!$A$51:$A$61,0),MATCH(ET.county!D$1,ET.region!$A$51:$M$51,0))</f>
        <v>1.7637795275590555</v>
      </c>
      <c r="E80" s="5">
        <f>INDEX(ET.region!$A$51:$M$61,MATCH(ET.county!$B80,ET.region!$A$51:$A$61,0),MATCH(ET.county!E$1,ET.region!$A$51:$M$51,0))</f>
        <v>3.0877952755905511</v>
      </c>
      <c r="F80" s="5">
        <f>INDEX(ET.region!$A$51:$M$61,MATCH(ET.county!$B80,ET.region!$A$51:$A$61,0),MATCH(ET.county!F$1,ET.region!$A$51:$M$51,0))</f>
        <v>4.4763779527559056</v>
      </c>
      <c r="G80" s="5">
        <f>INDEX(ET.region!$A$51:$M$61,MATCH(ET.county!$B80,ET.region!$A$51:$A$61,0),MATCH(ET.county!G$1,ET.region!$A$51:$M$51,0))</f>
        <v>5.8216535433070868</v>
      </c>
      <c r="H80" s="5">
        <f>INDEX(ET.region!$A$51:$M$61,MATCH(ET.county!$B80,ET.region!$A$51:$A$61,0),MATCH(ET.county!H$1,ET.region!$A$51:$M$51,0))</f>
        <v>6.4842519685039379</v>
      </c>
      <c r="I80" s="5">
        <f>INDEX(ET.region!$A$51:$M$61,MATCH(ET.county!$B80,ET.region!$A$51:$A$61,0),MATCH(ET.county!I$1,ET.region!$A$51:$M$51,0))</f>
        <v>6.8346456692913389</v>
      </c>
      <c r="J80" s="5">
        <f>INDEX(ET.region!$A$51:$M$61,MATCH(ET.county!$B80,ET.region!$A$51:$A$61,0),MATCH(ET.county!J$1,ET.region!$A$51:$M$51,0))</f>
        <v>6.1267716535433072</v>
      </c>
      <c r="K80" s="5">
        <f>INDEX(ET.region!$A$51:$M$61,MATCH(ET.county!$B80,ET.region!$A$51:$A$61,0),MATCH(ET.county!K$1,ET.region!$A$51:$M$51,0))</f>
        <v>4.5826771653543314</v>
      </c>
      <c r="L80" s="5">
        <f>INDEX(ET.region!$A$51:$M$61,MATCH(ET.county!$B80,ET.region!$A$51:$A$61,0),MATCH(ET.county!L$1,ET.region!$A$51:$M$51,0))</f>
        <v>3.246456692913386</v>
      </c>
      <c r="M80" s="5">
        <f>INDEX(ET.region!$A$51:$M$61,MATCH(ET.county!$B80,ET.region!$A$51:$A$61,0),MATCH(ET.county!M$1,ET.region!$A$51:$M$51,0))</f>
        <v>1.9488188976377951</v>
      </c>
      <c r="N80" s="5">
        <f>INDEX(ET.region!$A$51:$M$61,MATCH(ET.county!$B80,ET.region!$A$51:$A$61,0),MATCH(ET.county!N$1,ET.region!$A$51:$M$51,0))</f>
        <v>1.3181102362204726</v>
      </c>
    </row>
    <row r="81" spans="1:14" x14ac:dyDescent="0.3">
      <c r="A81" t="s">
        <v>367</v>
      </c>
      <c r="B81" t="s">
        <v>709</v>
      </c>
      <c r="C81" s="5">
        <f>INDEX(ET.region!$A$51:$M$61,MATCH(ET.county!$B81,ET.region!$A$51:$A$61,0),MATCH(ET.county!C$1,ET.region!$A$51:$M$51,0))</f>
        <v>1.4889763779527558</v>
      </c>
      <c r="D81" s="5">
        <f>INDEX(ET.region!$A$51:$M$61,MATCH(ET.county!$B81,ET.region!$A$51:$A$61,0),MATCH(ET.county!D$1,ET.region!$A$51:$M$51,0))</f>
        <v>1.9401574803149606</v>
      </c>
      <c r="E81" s="5">
        <f>INDEX(ET.region!$A$51:$M$61,MATCH(ET.county!$B81,ET.region!$A$51:$A$61,0),MATCH(ET.county!E$1,ET.region!$A$51:$M$51,0))</f>
        <v>3.2952755905511819</v>
      </c>
      <c r="F81" s="5">
        <f>INDEX(ET.region!$A$51:$M$61,MATCH(ET.county!$B81,ET.region!$A$51:$A$61,0),MATCH(ET.county!F$1,ET.region!$A$51:$M$51,0))</f>
        <v>4.7007874015748037</v>
      </c>
      <c r="G81" s="5">
        <f>INDEX(ET.region!$A$51:$M$61,MATCH(ET.county!$B81,ET.region!$A$51:$A$61,0),MATCH(ET.county!G$1,ET.region!$A$51:$M$51,0))</f>
        <v>6.0169291338582678</v>
      </c>
      <c r="H81" s="5">
        <f>INDEX(ET.region!$A$51:$M$61,MATCH(ET.county!$B81,ET.region!$A$51:$A$61,0),MATCH(ET.county!H$1,ET.region!$A$51:$M$51,0))</f>
        <v>6.6496062992125982</v>
      </c>
      <c r="I81" s="5">
        <f>INDEX(ET.region!$A$51:$M$61,MATCH(ET.county!$B81,ET.region!$A$51:$A$61,0),MATCH(ET.county!I$1,ET.region!$A$51:$M$51,0))</f>
        <v>6.9322834645669289</v>
      </c>
      <c r="J81" s="5">
        <f>INDEX(ET.region!$A$51:$M$61,MATCH(ET.county!$B81,ET.region!$A$51:$A$61,0),MATCH(ET.county!J$1,ET.region!$A$51:$M$51,0))</f>
        <v>6.1755905511811022</v>
      </c>
      <c r="K81" s="5">
        <f>INDEX(ET.region!$A$51:$M$61,MATCH(ET.county!$B81,ET.region!$A$51:$A$61,0),MATCH(ET.county!K$1,ET.region!$A$51:$M$51,0))</f>
        <v>4.7125984251968509</v>
      </c>
      <c r="L81" s="5">
        <f>INDEX(ET.region!$A$51:$M$61,MATCH(ET.county!$B81,ET.region!$A$51:$A$61,0),MATCH(ET.county!L$1,ET.region!$A$51:$M$51,0))</f>
        <v>3.4173228346456694</v>
      </c>
      <c r="M81" s="5">
        <f>INDEX(ET.region!$A$51:$M$61,MATCH(ET.county!$B81,ET.region!$A$51:$A$61,0),MATCH(ET.county!M$1,ET.region!$A$51:$M$51,0))</f>
        <v>2.1141732283464569</v>
      </c>
      <c r="N81" s="5">
        <f>INDEX(ET.region!$A$51:$M$61,MATCH(ET.county!$B81,ET.region!$A$51:$A$61,0),MATCH(ET.county!N$1,ET.region!$A$51:$M$51,0))</f>
        <v>1.4523622047244096</v>
      </c>
    </row>
    <row r="82" spans="1:14" x14ac:dyDescent="0.3">
      <c r="A82" t="s">
        <v>336</v>
      </c>
      <c r="B82" t="s">
        <v>393</v>
      </c>
      <c r="C82" s="5">
        <f>INDEX(ET.region!$A$51:$M$61,MATCH(ET.county!$B82,ET.region!$A$51:$A$61,0),MATCH(ET.county!C$1,ET.region!$A$51:$M$51,0))</f>
        <v>1.4523622047244096</v>
      </c>
      <c r="D82" s="5">
        <f>INDEX(ET.region!$A$51:$M$61,MATCH(ET.county!$B82,ET.region!$A$51:$A$61,0),MATCH(ET.county!D$1,ET.region!$A$51:$M$51,0))</f>
        <v>1.8850393700787402</v>
      </c>
      <c r="E82" s="5">
        <f>INDEX(ET.region!$A$51:$M$61,MATCH(ET.county!$B82,ET.region!$A$51:$A$61,0),MATCH(ET.county!E$1,ET.region!$A$51:$M$51,0))</f>
        <v>3.1610236220472441</v>
      </c>
      <c r="F82" s="5">
        <f>INDEX(ET.region!$A$51:$M$61,MATCH(ET.county!$B82,ET.region!$A$51:$A$61,0),MATCH(ET.county!F$1,ET.region!$A$51:$M$51,0))</f>
        <v>4.346456692913387</v>
      </c>
      <c r="G82" s="5">
        <f>INDEX(ET.region!$A$51:$M$61,MATCH(ET.county!$B82,ET.region!$A$51:$A$61,0),MATCH(ET.county!G$1,ET.region!$A$51:$M$51,0))</f>
        <v>5.333464566929135</v>
      </c>
      <c r="H82" s="5">
        <f>INDEX(ET.region!$A$51:$M$61,MATCH(ET.county!$B82,ET.region!$A$51:$A$61,0),MATCH(ET.county!H$1,ET.region!$A$51:$M$51,0))</f>
        <v>5.5748031496062991</v>
      </c>
      <c r="I82" s="5">
        <f>INDEX(ET.region!$A$51:$M$61,MATCH(ET.county!$B82,ET.region!$A$51:$A$61,0),MATCH(ET.county!I$1,ET.region!$A$51:$M$51,0))</f>
        <v>5.6751968503937018</v>
      </c>
      <c r="J82" s="5">
        <f>INDEX(ET.region!$A$51:$M$61,MATCH(ET.county!$B82,ET.region!$A$51:$A$61,0),MATCH(ET.county!J$1,ET.region!$A$51:$M$51,0))</f>
        <v>5.0893700787401581</v>
      </c>
      <c r="K82" s="5">
        <f>INDEX(ET.region!$A$51:$M$61,MATCH(ET.county!$B82,ET.region!$A$51:$A$61,0),MATCH(ET.county!K$1,ET.region!$A$51:$M$51,0))</f>
        <v>4.015748031496063</v>
      </c>
      <c r="L82" s="5">
        <f>INDEX(ET.region!$A$51:$M$61,MATCH(ET.county!$B82,ET.region!$A$51:$A$61,0),MATCH(ET.county!L$1,ET.region!$A$51:$M$51,0))</f>
        <v>3.0633858267716536</v>
      </c>
      <c r="M82" s="5">
        <f>INDEX(ET.region!$A$51:$M$61,MATCH(ET.county!$B82,ET.region!$A$51:$A$61,0),MATCH(ET.county!M$1,ET.region!$A$51:$M$51,0))</f>
        <v>1.9606299212598426</v>
      </c>
      <c r="N82" s="5">
        <f>INDEX(ET.region!$A$51:$M$61,MATCH(ET.county!$B82,ET.region!$A$51:$A$61,0),MATCH(ET.county!N$1,ET.region!$A$51:$M$51,0))</f>
        <v>1.3913385826771654</v>
      </c>
    </row>
    <row r="83" spans="1:14" x14ac:dyDescent="0.3">
      <c r="A83" t="s">
        <v>324</v>
      </c>
      <c r="B83" t="s">
        <v>387</v>
      </c>
      <c r="C83" s="5">
        <f>INDEX(ET.region!$A$51:$M$61,MATCH(ET.county!$B83,ET.region!$A$51:$A$61,0),MATCH(ET.county!C$1,ET.region!$A$51:$M$51,0))</f>
        <v>1.5744094488188978</v>
      </c>
      <c r="D83" s="5">
        <f>INDEX(ET.region!$A$51:$M$61,MATCH(ET.county!$B83,ET.region!$A$51:$A$61,0),MATCH(ET.county!D$1,ET.region!$A$51:$M$51,0))</f>
        <v>2.0173228346456695</v>
      </c>
      <c r="E83" s="5">
        <f>INDEX(ET.region!$A$51:$M$61,MATCH(ET.county!$B83,ET.region!$A$51:$A$61,0),MATCH(ET.county!E$1,ET.region!$A$51:$M$51,0))</f>
        <v>3.4661417322834644</v>
      </c>
      <c r="F83" s="5">
        <f>INDEX(ET.region!$A$51:$M$61,MATCH(ET.county!$B83,ET.region!$A$51:$A$61,0),MATCH(ET.county!F$1,ET.region!$A$51:$M$51,0))</f>
        <v>4.877952755905512</v>
      </c>
      <c r="G83" s="5">
        <f>INDEX(ET.region!$A$51:$M$61,MATCH(ET.county!$B83,ET.region!$A$51:$A$61,0),MATCH(ET.county!G$1,ET.region!$A$51:$M$51,0))</f>
        <v>6.2976377952755911</v>
      </c>
      <c r="H83" s="5">
        <f>INDEX(ET.region!$A$51:$M$61,MATCH(ET.county!$B83,ET.region!$A$51:$A$61,0),MATCH(ET.county!H$1,ET.region!$A$51:$M$51,0))</f>
        <v>6.6968503937007879</v>
      </c>
      <c r="I83" s="5">
        <f>INDEX(ET.region!$A$51:$M$61,MATCH(ET.county!$B83,ET.region!$A$51:$A$61,0),MATCH(ET.county!I$1,ET.region!$A$51:$M$51,0))</f>
        <v>6.8346456692913389</v>
      </c>
      <c r="J83" s="5">
        <f>INDEX(ET.region!$A$51:$M$61,MATCH(ET.county!$B83,ET.region!$A$51:$A$61,0),MATCH(ET.county!J$1,ET.region!$A$51:$M$51,0))</f>
        <v>6.1145669291338578</v>
      </c>
      <c r="K83" s="5">
        <f>INDEX(ET.region!$A$51:$M$61,MATCH(ET.county!$B83,ET.region!$A$51:$A$61,0),MATCH(ET.county!K$1,ET.region!$A$51:$M$51,0))</f>
        <v>4.7125984251968509</v>
      </c>
      <c r="L83" s="5">
        <f>INDEX(ET.region!$A$51:$M$61,MATCH(ET.county!$B83,ET.region!$A$51:$A$61,0),MATCH(ET.county!L$1,ET.region!$A$51:$M$51,0))</f>
        <v>3.4661417322834644</v>
      </c>
      <c r="M83" s="5">
        <f>INDEX(ET.region!$A$51:$M$61,MATCH(ET.county!$B83,ET.region!$A$51:$A$61,0),MATCH(ET.county!M$1,ET.region!$A$51:$M$51,0))</f>
        <v>2.1968503937007875</v>
      </c>
      <c r="N83" s="5">
        <f>INDEX(ET.region!$A$51:$M$61,MATCH(ET.county!$B83,ET.region!$A$51:$A$61,0),MATCH(ET.county!N$1,ET.region!$A$51:$M$51,0))</f>
        <v>1.55</v>
      </c>
    </row>
    <row r="84" spans="1:14" x14ac:dyDescent="0.3">
      <c r="A84" t="s">
        <v>348</v>
      </c>
      <c r="B84" t="s">
        <v>390</v>
      </c>
      <c r="C84" s="5">
        <f>INDEX(ET.region!$A$51:$M$61,MATCH(ET.county!$B84,ET.region!$A$51:$A$61,0),MATCH(ET.county!C$1,ET.region!$A$51:$M$51,0))</f>
        <v>1.5011811023622048</v>
      </c>
      <c r="D84" s="5">
        <f>INDEX(ET.region!$A$51:$M$61,MATCH(ET.county!$B84,ET.region!$A$51:$A$61,0),MATCH(ET.county!D$1,ET.region!$A$51:$M$51,0))</f>
        <v>1.9622047244094489</v>
      </c>
      <c r="E84" s="5">
        <f>INDEX(ET.region!$A$51:$M$61,MATCH(ET.county!$B84,ET.region!$A$51:$A$61,0),MATCH(ET.county!E$1,ET.region!$A$51:$M$51,0))</f>
        <v>3.4051181102362205</v>
      </c>
      <c r="F84" s="5">
        <f>INDEX(ET.region!$A$51:$M$61,MATCH(ET.county!$B84,ET.region!$A$51:$A$61,0),MATCH(ET.county!F$1,ET.region!$A$51:$M$51,0))</f>
        <v>4.8661417322834648</v>
      </c>
      <c r="G84" s="5">
        <f>INDEX(ET.region!$A$51:$M$61,MATCH(ET.county!$B84,ET.region!$A$51:$A$61,0),MATCH(ET.county!G$1,ET.region!$A$51:$M$51,0))</f>
        <v>6.1755905511811022</v>
      </c>
      <c r="H84" s="5">
        <f>INDEX(ET.region!$A$51:$M$61,MATCH(ET.county!$B84,ET.region!$A$51:$A$61,0),MATCH(ET.county!H$1,ET.region!$A$51:$M$51,0))</f>
        <v>6.7440944881889759</v>
      </c>
      <c r="I84" s="5">
        <f>INDEX(ET.region!$A$51:$M$61,MATCH(ET.county!$B84,ET.region!$A$51:$A$61,0),MATCH(ET.county!I$1,ET.region!$A$51:$M$51,0))</f>
        <v>7.0055118110236227</v>
      </c>
      <c r="J84" s="5">
        <f>INDEX(ET.region!$A$51:$M$61,MATCH(ET.county!$B84,ET.region!$A$51:$A$61,0),MATCH(ET.county!J$1,ET.region!$A$51:$M$51,0))</f>
        <v>6.2244094488188981</v>
      </c>
      <c r="K84" s="5">
        <f>INDEX(ET.region!$A$51:$M$61,MATCH(ET.county!$B84,ET.region!$A$51:$A$61,0),MATCH(ET.county!K$1,ET.region!$A$51:$M$51,0))</f>
        <v>4.771653543307087</v>
      </c>
      <c r="L84" s="5">
        <f>INDEX(ET.region!$A$51:$M$61,MATCH(ET.county!$B84,ET.region!$A$51:$A$61,0),MATCH(ET.county!L$1,ET.region!$A$51:$M$51,0))</f>
        <v>3.4051181102362205</v>
      </c>
      <c r="M84" s="5">
        <f>INDEX(ET.region!$A$51:$M$61,MATCH(ET.county!$B84,ET.region!$A$51:$A$61,0),MATCH(ET.county!M$1,ET.region!$A$51:$M$51,0))</f>
        <v>2.0905511811023625</v>
      </c>
      <c r="N84" s="5">
        <f>INDEX(ET.region!$A$51:$M$61,MATCH(ET.county!$B84,ET.region!$A$51:$A$61,0),MATCH(ET.county!N$1,ET.region!$A$51:$M$51,0))</f>
        <v>1.4889763779527558</v>
      </c>
    </row>
    <row r="85" spans="1:14" x14ac:dyDescent="0.3">
      <c r="A85" t="s">
        <v>302</v>
      </c>
      <c r="B85" t="s">
        <v>392</v>
      </c>
      <c r="C85" s="5">
        <f>INDEX(ET.region!$A$51:$M$61,MATCH(ET.county!$B85,ET.region!$A$51:$A$61,0),MATCH(ET.county!C$1,ET.region!$A$51:$M$51,0))</f>
        <v>1.4889763779527558</v>
      </c>
      <c r="D85" s="5">
        <f>INDEX(ET.region!$A$51:$M$61,MATCH(ET.county!$B85,ET.region!$A$51:$A$61,0),MATCH(ET.county!D$1,ET.region!$A$51:$M$51,0))</f>
        <v>1.9401574803149606</v>
      </c>
      <c r="E85" s="5">
        <f>INDEX(ET.region!$A$51:$M$61,MATCH(ET.county!$B85,ET.region!$A$51:$A$61,0),MATCH(ET.county!E$1,ET.region!$A$51:$M$51,0))</f>
        <v>3.2952755905511819</v>
      </c>
      <c r="F85" s="5">
        <f>INDEX(ET.region!$A$51:$M$61,MATCH(ET.county!$B85,ET.region!$A$51:$A$61,0),MATCH(ET.county!F$1,ET.region!$A$51:$M$51,0))</f>
        <v>4.7007874015748037</v>
      </c>
      <c r="G85" s="5">
        <f>INDEX(ET.region!$A$51:$M$61,MATCH(ET.county!$B85,ET.region!$A$51:$A$61,0),MATCH(ET.county!G$1,ET.region!$A$51:$M$51,0))</f>
        <v>6.0169291338582678</v>
      </c>
      <c r="H85" s="5">
        <f>INDEX(ET.region!$A$51:$M$61,MATCH(ET.county!$B85,ET.region!$A$51:$A$61,0),MATCH(ET.county!H$1,ET.region!$A$51:$M$51,0))</f>
        <v>6.6496062992125982</v>
      </c>
      <c r="I85" s="5">
        <f>INDEX(ET.region!$A$51:$M$61,MATCH(ET.county!$B85,ET.region!$A$51:$A$61,0),MATCH(ET.county!I$1,ET.region!$A$51:$M$51,0))</f>
        <v>6.9322834645669289</v>
      </c>
      <c r="J85" s="5">
        <f>INDEX(ET.region!$A$51:$M$61,MATCH(ET.county!$B85,ET.region!$A$51:$A$61,0),MATCH(ET.county!J$1,ET.region!$A$51:$M$51,0))</f>
        <v>6.1755905511811022</v>
      </c>
      <c r="K85" s="5">
        <f>INDEX(ET.region!$A$51:$M$61,MATCH(ET.county!$B85,ET.region!$A$51:$A$61,0),MATCH(ET.county!K$1,ET.region!$A$51:$M$51,0))</f>
        <v>4.7125984251968509</v>
      </c>
      <c r="L85" s="5">
        <f>INDEX(ET.region!$A$51:$M$61,MATCH(ET.county!$B85,ET.region!$A$51:$A$61,0),MATCH(ET.county!L$1,ET.region!$A$51:$M$51,0))</f>
        <v>3.4173228346456694</v>
      </c>
      <c r="M85" s="5">
        <f>INDEX(ET.region!$A$51:$M$61,MATCH(ET.county!$B85,ET.region!$A$51:$A$61,0),MATCH(ET.county!M$1,ET.region!$A$51:$M$51,0))</f>
        <v>2.1141732283464569</v>
      </c>
      <c r="N85" s="5">
        <f>INDEX(ET.region!$A$51:$M$61,MATCH(ET.county!$B85,ET.region!$A$51:$A$61,0),MATCH(ET.county!N$1,ET.region!$A$51:$M$51,0))</f>
        <v>1.4523622047244096</v>
      </c>
    </row>
    <row r="86" spans="1:14" x14ac:dyDescent="0.3">
      <c r="A86" t="s">
        <v>327</v>
      </c>
      <c r="B86" t="s">
        <v>391</v>
      </c>
      <c r="C86" s="5">
        <f>INDEX(ET.region!$A$51:$M$61,MATCH(ET.county!$B86,ET.region!$A$51:$A$61,0),MATCH(ET.county!C$1,ET.region!$A$51:$M$51,0))</f>
        <v>1.3425196850393704</v>
      </c>
      <c r="D86" s="5">
        <f>INDEX(ET.region!$A$51:$M$61,MATCH(ET.county!$B86,ET.region!$A$51:$A$61,0),MATCH(ET.county!D$1,ET.region!$A$51:$M$51,0))</f>
        <v>1.7637795275590555</v>
      </c>
      <c r="E86" s="5">
        <f>INDEX(ET.region!$A$51:$M$61,MATCH(ET.county!$B86,ET.region!$A$51:$A$61,0),MATCH(ET.county!E$1,ET.region!$A$51:$M$51,0))</f>
        <v>3.0877952755905511</v>
      </c>
      <c r="F86" s="5">
        <f>INDEX(ET.region!$A$51:$M$61,MATCH(ET.county!$B86,ET.region!$A$51:$A$61,0),MATCH(ET.county!F$1,ET.region!$A$51:$M$51,0))</f>
        <v>4.4763779527559056</v>
      </c>
      <c r="G86" s="5">
        <f>INDEX(ET.region!$A$51:$M$61,MATCH(ET.county!$B86,ET.region!$A$51:$A$61,0),MATCH(ET.county!G$1,ET.region!$A$51:$M$51,0))</f>
        <v>5.8216535433070868</v>
      </c>
      <c r="H86" s="5">
        <f>INDEX(ET.region!$A$51:$M$61,MATCH(ET.county!$B86,ET.region!$A$51:$A$61,0),MATCH(ET.county!H$1,ET.region!$A$51:$M$51,0))</f>
        <v>6.4842519685039379</v>
      </c>
      <c r="I86" s="5">
        <f>INDEX(ET.region!$A$51:$M$61,MATCH(ET.county!$B86,ET.region!$A$51:$A$61,0),MATCH(ET.county!I$1,ET.region!$A$51:$M$51,0))</f>
        <v>6.8346456692913389</v>
      </c>
      <c r="J86" s="5">
        <f>INDEX(ET.region!$A$51:$M$61,MATCH(ET.county!$B86,ET.region!$A$51:$A$61,0),MATCH(ET.county!J$1,ET.region!$A$51:$M$51,0))</f>
        <v>6.1267716535433072</v>
      </c>
      <c r="K86" s="5">
        <f>INDEX(ET.region!$A$51:$M$61,MATCH(ET.county!$B86,ET.region!$A$51:$A$61,0),MATCH(ET.county!K$1,ET.region!$A$51:$M$51,0))</f>
        <v>4.5826771653543314</v>
      </c>
      <c r="L86" s="5">
        <f>INDEX(ET.region!$A$51:$M$61,MATCH(ET.county!$B86,ET.region!$A$51:$A$61,0),MATCH(ET.county!L$1,ET.region!$A$51:$M$51,0))</f>
        <v>3.246456692913386</v>
      </c>
      <c r="M86" s="5">
        <f>INDEX(ET.region!$A$51:$M$61,MATCH(ET.county!$B86,ET.region!$A$51:$A$61,0),MATCH(ET.county!M$1,ET.region!$A$51:$M$51,0))</f>
        <v>1.9488188976377951</v>
      </c>
      <c r="N86" s="5">
        <f>INDEX(ET.region!$A$51:$M$61,MATCH(ET.county!$B86,ET.region!$A$51:$A$61,0),MATCH(ET.county!N$1,ET.region!$A$51:$M$51,0))</f>
        <v>1.3181102362204726</v>
      </c>
    </row>
    <row r="87" spans="1:14" x14ac:dyDescent="0.3">
      <c r="A87" t="s">
        <v>333</v>
      </c>
      <c r="B87" t="s">
        <v>391</v>
      </c>
      <c r="C87" s="5">
        <f>INDEX(ET.region!$A$51:$M$61,MATCH(ET.county!$B87,ET.region!$A$51:$A$61,0),MATCH(ET.county!C$1,ET.region!$A$51:$M$51,0))</f>
        <v>1.3425196850393704</v>
      </c>
      <c r="D87" s="5">
        <f>INDEX(ET.region!$A$51:$M$61,MATCH(ET.county!$B87,ET.region!$A$51:$A$61,0),MATCH(ET.county!D$1,ET.region!$A$51:$M$51,0))</f>
        <v>1.7637795275590555</v>
      </c>
      <c r="E87" s="5">
        <f>INDEX(ET.region!$A$51:$M$61,MATCH(ET.county!$B87,ET.region!$A$51:$A$61,0),MATCH(ET.county!E$1,ET.region!$A$51:$M$51,0))</f>
        <v>3.0877952755905511</v>
      </c>
      <c r="F87" s="5">
        <f>INDEX(ET.region!$A$51:$M$61,MATCH(ET.county!$B87,ET.region!$A$51:$A$61,0),MATCH(ET.county!F$1,ET.region!$A$51:$M$51,0))</f>
        <v>4.4763779527559056</v>
      </c>
      <c r="G87" s="5">
        <f>INDEX(ET.region!$A$51:$M$61,MATCH(ET.county!$B87,ET.region!$A$51:$A$61,0),MATCH(ET.county!G$1,ET.region!$A$51:$M$51,0))</f>
        <v>5.8216535433070868</v>
      </c>
      <c r="H87" s="5">
        <f>INDEX(ET.region!$A$51:$M$61,MATCH(ET.county!$B87,ET.region!$A$51:$A$61,0),MATCH(ET.county!H$1,ET.region!$A$51:$M$51,0))</f>
        <v>6.4842519685039379</v>
      </c>
      <c r="I87" s="5">
        <f>INDEX(ET.region!$A$51:$M$61,MATCH(ET.county!$B87,ET.region!$A$51:$A$61,0),MATCH(ET.county!I$1,ET.region!$A$51:$M$51,0))</f>
        <v>6.8346456692913389</v>
      </c>
      <c r="J87" s="5">
        <f>INDEX(ET.region!$A$51:$M$61,MATCH(ET.county!$B87,ET.region!$A$51:$A$61,0),MATCH(ET.county!J$1,ET.region!$A$51:$M$51,0))</f>
        <v>6.1267716535433072</v>
      </c>
      <c r="K87" s="5">
        <f>INDEX(ET.region!$A$51:$M$61,MATCH(ET.county!$B87,ET.region!$A$51:$A$61,0),MATCH(ET.county!K$1,ET.region!$A$51:$M$51,0))</f>
        <v>4.5826771653543314</v>
      </c>
      <c r="L87" s="5">
        <f>INDEX(ET.region!$A$51:$M$61,MATCH(ET.county!$B87,ET.region!$A$51:$A$61,0),MATCH(ET.county!L$1,ET.region!$A$51:$M$51,0))</f>
        <v>3.246456692913386</v>
      </c>
      <c r="M87" s="5">
        <f>INDEX(ET.region!$A$51:$M$61,MATCH(ET.county!$B87,ET.region!$A$51:$A$61,0),MATCH(ET.county!M$1,ET.region!$A$51:$M$51,0))</f>
        <v>1.9488188976377951</v>
      </c>
      <c r="N87" s="5">
        <f>INDEX(ET.region!$A$51:$M$61,MATCH(ET.county!$B87,ET.region!$A$51:$A$61,0),MATCH(ET.county!N$1,ET.region!$A$51:$M$51,0))</f>
        <v>1.3181102362204726</v>
      </c>
    </row>
    <row r="88" spans="1:14" x14ac:dyDescent="0.3">
      <c r="A88" t="s">
        <v>361</v>
      </c>
      <c r="B88" t="s">
        <v>394</v>
      </c>
      <c r="C88" s="5">
        <f>INDEX(ET.region!$A$51:$M$61,MATCH(ET.county!$B88,ET.region!$A$51:$A$61,0),MATCH(ET.county!C$1,ET.region!$A$51:$M$51,0))</f>
        <v>1.3913385826771654</v>
      </c>
      <c r="D88" s="5">
        <f>INDEX(ET.region!$A$51:$M$61,MATCH(ET.county!$B88,ET.region!$A$51:$A$61,0),MATCH(ET.county!D$1,ET.region!$A$51:$M$51,0))</f>
        <v>1.7748031496062995</v>
      </c>
      <c r="E88" s="5">
        <f>INDEX(ET.region!$A$51:$M$61,MATCH(ET.county!$B88,ET.region!$A$51:$A$61,0),MATCH(ET.county!E$1,ET.region!$A$51:$M$51,0))</f>
        <v>3.0633858267716536</v>
      </c>
      <c r="F88" s="5">
        <f>INDEX(ET.region!$A$51:$M$61,MATCH(ET.county!$B88,ET.region!$A$51:$A$61,0),MATCH(ET.county!F$1,ET.region!$A$51:$M$51,0))</f>
        <v>4.4173228346456694</v>
      </c>
      <c r="G88" s="5">
        <f>INDEX(ET.region!$A$51:$M$61,MATCH(ET.county!$B88,ET.region!$A$51:$A$61,0),MATCH(ET.county!G$1,ET.region!$A$51:$M$51,0))</f>
        <v>5.7362204724409454</v>
      </c>
      <c r="H88" s="5">
        <f>INDEX(ET.region!$A$51:$M$61,MATCH(ET.county!$B88,ET.region!$A$51:$A$61,0),MATCH(ET.county!H$1,ET.region!$A$51:$M$51,0))</f>
        <v>6.3070866141732287</v>
      </c>
      <c r="I88" s="5">
        <f>INDEX(ET.region!$A$51:$M$61,MATCH(ET.county!$B88,ET.region!$A$51:$A$61,0),MATCH(ET.county!I$1,ET.region!$A$51:$M$51,0))</f>
        <v>6.5417322834645679</v>
      </c>
      <c r="J88" s="5">
        <f>INDEX(ET.region!$A$51:$M$61,MATCH(ET.county!$B88,ET.region!$A$51:$A$61,0),MATCH(ET.county!J$1,ET.region!$A$51:$M$51,0))</f>
        <v>5.9314960629921272</v>
      </c>
      <c r="K88" s="5">
        <f>INDEX(ET.region!$A$51:$M$61,MATCH(ET.county!$B88,ET.region!$A$51:$A$61,0),MATCH(ET.county!K$1,ET.region!$A$51:$M$51,0))</f>
        <v>4.5118110236220472</v>
      </c>
      <c r="L88" s="5">
        <f>INDEX(ET.region!$A$51:$M$61,MATCH(ET.county!$B88,ET.region!$A$51:$A$61,0),MATCH(ET.county!L$1,ET.region!$A$51:$M$51,0))</f>
        <v>3.270866141732284</v>
      </c>
      <c r="M88" s="5">
        <f>INDEX(ET.region!$A$51:$M$61,MATCH(ET.county!$B88,ET.region!$A$51:$A$61,0),MATCH(ET.county!M$1,ET.region!$A$51:$M$51,0))</f>
        <v>1.9724409448818898</v>
      </c>
      <c r="N88" s="5">
        <f>INDEX(ET.region!$A$51:$M$61,MATCH(ET.county!$B88,ET.region!$A$51:$A$61,0),MATCH(ET.county!N$1,ET.region!$A$51:$M$51,0))</f>
        <v>1.3547244094488189</v>
      </c>
    </row>
    <row r="89" spans="1:14" x14ac:dyDescent="0.3">
      <c r="A89" t="s">
        <v>312</v>
      </c>
      <c r="B89" t="s">
        <v>394</v>
      </c>
      <c r="C89" s="5">
        <f>INDEX(ET.region!$A$51:$M$61,MATCH(ET.county!$B89,ET.region!$A$51:$A$61,0),MATCH(ET.county!C$1,ET.region!$A$51:$M$51,0))</f>
        <v>1.3913385826771654</v>
      </c>
      <c r="D89" s="5">
        <f>INDEX(ET.region!$A$51:$M$61,MATCH(ET.county!$B89,ET.region!$A$51:$A$61,0),MATCH(ET.county!D$1,ET.region!$A$51:$M$51,0))</f>
        <v>1.7748031496062995</v>
      </c>
      <c r="E89" s="5">
        <f>INDEX(ET.region!$A$51:$M$61,MATCH(ET.county!$B89,ET.region!$A$51:$A$61,0),MATCH(ET.county!E$1,ET.region!$A$51:$M$51,0))</f>
        <v>3.0633858267716536</v>
      </c>
      <c r="F89" s="5">
        <f>INDEX(ET.region!$A$51:$M$61,MATCH(ET.county!$B89,ET.region!$A$51:$A$61,0),MATCH(ET.county!F$1,ET.region!$A$51:$M$51,0))</f>
        <v>4.4173228346456694</v>
      </c>
      <c r="G89" s="5">
        <f>INDEX(ET.region!$A$51:$M$61,MATCH(ET.county!$B89,ET.region!$A$51:$A$61,0),MATCH(ET.county!G$1,ET.region!$A$51:$M$51,0))</f>
        <v>5.7362204724409454</v>
      </c>
      <c r="H89" s="5">
        <f>INDEX(ET.region!$A$51:$M$61,MATCH(ET.county!$B89,ET.region!$A$51:$A$61,0),MATCH(ET.county!H$1,ET.region!$A$51:$M$51,0))</f>
        <v>6.3070866141732287</v>
      </c>
      <c r="I89" s="5">
        <f>INDEX(ET.region!$A$51:$M$61,MATCH(ET.county!$B89,ET.region!$A$51:$A$61,0),MATCH(ET.county!I$1,ET.region!$A$51:$M$51,0))</f>
        <v>6.5417322834645679</v>
      </c>
      <c r="J89" s="5">
        <f>INDEX(ET.region!$A$51:$M$61,MATCH(ET.county!$B89,ET.region!$A$51:$A$61,0),MATCH(ET.county!J$1,ET.region!$A$51:$M$51,0))</f>
        <v>5.9314960629921272</v>
      </c>
      <c r="K89" s="5">
        <f>INDEX(ET.region!$A$51:$M$61,MATCH(ET.county!$B89,ET.region!$A$51:$A$61,0),MATCH(ET.county!K$1,ET.region!$A$51:$M$51,0))</f>
        <v>4.5118110236220472</v>
      </c>
      <c r="L89" s="5">
        <f>INDEX(ET.region!$A$51:$M$61,MATCH(ET.county!$B89,ET.region!$A$51:$A$61,0),MATCH(ET.county!L$1,ET.region!$A$51:$M$51,0))</f>
        <v>3.270866141732284</v>
      </c>
      <c r="M89" s="5">
        <f>INDEX(ET.region!$A$51:$M$61,MATCH(ET.county!$B89,ET.region!$A$51:$A$61,0),MATCH(ET.county!M$1,ET.region!$A$51:$M$51,0))</f>
        <v>1.9724409448818898</v>
      </c>
      <c r="N89" s="5">
        <f>INDEX(ET.region!$A$51:$M$61,MATCH(ET.county!$B89,ET.region!$A$51:$A$61,0),MATCH(ET.county!N$1,ET.region!$A$51:$M$51,0))</f>
        <v>1.3547244094488189</v>
      </c>
    </row>
    <row r="90" spans="1:14" x14ac:dyDescent="0.3">
      <c r="A90" t="s">
        <v>716</v>
      </c>
      <c r="B90" t="s">
        <v>386</v>
      </c>
      <c r="C90" s="5">
        <f>INDEX(ET.region!$A$51:$M$61,MATCH(ET.county!$B90,ET.region!$A$51:$A$61,0),MATCH(ET.county!C$1,ET.region!$A$51:$M$51,0))</f>
        <v>1.581</v>
      </c>
      <c r="D90" s="5">
        <f>INDEX(ET.region!$A$51:$M$61,MATCH(ET.county!$B90,ET.region!$A$51:$A$61,0),MATCH(ET.county!D$1,ET.region!$A$51:$M$51,0))</f>
        <v>1.9600000000000002</v>
      </c>
      <c r="E90" s="5">
        <f>INDEX(ET.region!$A$51:$M$61,MATCH(ET.county!$B90,ET.region!$A$51:$A$61,0),MATCH(ET.county!E$1,ET.region!$A$51:$M$51,0))</f>
        <v>3.2549999999999999</v>
      </c>
      <c r="F90" s="5">
        <f>INDEX(ET.region!$A$51:$M$61,MATCH(ET.county!$B90,ET.region!$A$51:$A$61,0),MATCH(ET.county!F$1,ET.region!$A$51:$M$51,0))</f>
        <v>4.59</v>
      </c>
      <c r="G90" s="5">
        <f>INDEX(ET.region!$A$51:$M$61,MATCH(ET.county!$B90,ET.region!$A$51:$A$61,0),MATCH(ET.county!G$1,ET.region!$A$51:$M$51,0))</f>
        <v>5.7969999999999997</v>
      </c>
      <c r="H90" s="5">
        <f>INDEX(ET.region!$A$51:$M$61,MATCH(ET.county!$B90,ET.region!$A$51:$A$61,0),MATCH(ET.county!H$1,ET.region!$A$51:$M$51,0))</f>
        <v>6.2399999999999993</v>
      </c>
      <c r="I90" s="5">
        <f>INDEX(ET.region!$A$51:$M$61,MATCH(ET.county!$B90,ET.region!$A$51:$A$61,0),MATCH(ET.county!I$1,ET.region!$A$51:$M$51,0))</f>
        <v>6.4790000000000001</v>
      </c>
      <c r="J90" s="5">
        <f>INDEX(ET.region!$A$51:$M$61,MATCH(ET.county!$B90,ET.region!$A$51:$A$61,0),MATCH(ET.county!J$1,ET.region!$A$51:$M$51,0))</f>
        <v>5.7350000000000003</v>
      </c>
      <c r="K90" s="5">
        <f>INDEX(ET.region!$A$51:$M$61,MATCH(ET.county!$B90,ET.region!$A$51:$A$61,0),MATCH(ET.county!K$1,ET.region!$A$51:$M$51,0))</f>
        <v>4.38</v>
      </c>
      <c r="L90" s="5">
        <f>INDEX(ET.region!$A$51:$M$61,MATCH(ET.county!$B90,ET.region!$A$51:$A$61,0),MATCH(ET.county!L$1,ET.region!$A$51:$M$51,0))</f>
        <v>3.2549999999999999</v>
      </c>
      <c r="M90" s="5">
        <f>INDEX(ET.region!$A$51:$M$61,MATCH(ET.county!$B90,ET.region!$A$51:$A$61,0),MATCH(ET.county!M$1,ET.region!$A$51:$M$51,0))</f>
        <v>2.0700000000000003</v>
      </c>
      <c r="N90" s="5">
        <f>INDEX(ET.region!$A$51:$M$61,MATCH(ET.county!$B90,ET.region!$A$51:$A$61,0),MATCH(ET.county!N$1,ET.region!$A$51:$M$51,0))</f>
        <v>1.55</v>
      </c>
    </row>
    <row r="91" spans="1:14" x14ac:dyDescent="0.3">
      <c r="A91" t="s">
        <v>356</v>
      </c>
      <c r="B91" t="s">
        <v>392</v>
      </c>
      <c r="C91" s="5">
        <f>INDEX(ET.region!$A$51:$M$61,MATCH(ET.county!$B91,ET.region!$A$51:$A$61,0),MATCH(ET.county!C$1,ET.region!$A$51:$M$51,0))</f>
        <v>1.4889763779527558</v>
      </c>
      <c r="D91" s="5">
        <f>INDEX(ET.region!$A$51:$M$61,MATCH(ET.county!$B91,ET.region!$A$51:$A$61,0),MATCH(ET.county!D$1,ET.region!$A$51:$M$51,0))</f>
        <v>1.9401574803149606</v>
      </c>
      <c r="E91" s="5">
        <f>INDEX(ET.region!$A$51:$M$61,MATCH(ET.county!$B91,ET.region!$A$51:$A$61,0),MATCH(ET.county!E$1,ET.region!$A$51:$M$51,0))</f>
        <v>3.2952755905511819</v>
      </c>
      <c r="F91" s="5">
        <f>INDEX(ET.region!$A$51:$M$61,MATCH(ET.county!$B91,ET.region!$A$51:$A$61,0),MATCH(ET.county!F$1,ET.region!$A$51:$M$51,0))</f>
        <v>4.7007874015748037</v>
      </c>
      <c r="G91" s="5">
        <f>INDEX(ET.region!$A$51:$M$61,MATCH(ET.county!$B91,ET.region!$A$51:$A$61,0),MATCH(ET.county!G$1,ET.region!$A$51:$M$51,0))</f>
        <v>6.0169291338582678</v>
      </c>
      <c r="H91" s="5">
        <f>INDEX(ET.region!$A$51:$M$61,MATCH(ET.county!$B91,ET.region!$A$51:$A$61,0),MATCH(ET.county!H$1,ET.region!$A$51:$M$51,0))</f>
        <v>6.6496062992125982</v>
      </c>
      <c r="I91" s="5">
        <f>INDEX(ET.region!$A$51:$M$61,MATCH(ET.county!$B91,ET.region!$A$51:$A$61,0),MATCH(ET.county!I$1,ET.region!$A$51:$M$51,0))</f>
        <v>6.9322834645669289</v>
      </c>
      <c r="J91" s="5">
        <f>INDEX(ET.region!$A$51:$M$61,MATCH(ET.county!$B91,ET.region!$A$51:$A$61,0),MATCH(ET.county!J$1,ET.region!$A$51:$M$51,0))</f>
        <v>6.1755905511811022</v>
      </c>
      <c r="K91" s="5">
        <f>INDEX(ET.region!$A$51:$M$61,MATCH(ET.county!$B91,ET.region!$A$51:$A$61,0),MATCH(ET.county!K$1,ET.region!$A$51:$M$51,0))</f>
        <v>4.7125984251968509</v>
      </c>
      <c r="L91" s="5">
        <f>INDEX(ET.region!$A$51:$M$61,MATCH(ET.county!$B91,ET.region!$A$51:$A$61,0),MATCH(ET.county!L$1,ET.region!$A$51:$M$51,0))</f>
        <v>3.4173228346456694</v>
      </c>
      <c r="M91" s="5">
        <f>INDEX(ET.region!$A$51:$M$61,MATCH(ET.county!$B91,ET.region!$A$51:$A$61,0),MATCH(ET.county!M$1,ET.region!$A$51:$M$51,0))</f>
        <v>2.1141732283464569</v>
      </c>
      <c r="N91" s="5">
        <f>INDEX(ET.region!$A$51:$M$61,MATCH(ET.county!$B91,ET.region!$A$51:$A$61,0),MATCH(ET.county!N$1,ET.region!$A$51:$M$51,0))</f>
        <v>1.4523622047244096</v>
      </c>
    </row>
    <row r="92" spans="1:14" x14ac:dyDescent="0.3">
      <c r="A92" t="s">
        <v>710</v>
      </c>
      <c r="B92" t="s">
        <v>391</v>
      </c>
      <c r="C92" s="5">
        <f>INDEX(ET.region!$A$51:$M$61,MATCH(ET.county!$B92,ET.region!$A$51:$A$61,0),MATCH(ET.county!C$1,ET.region!$A$51:$M$51,0))</f>
        <v>1.3425196850393704</v>
      </c>
      <c r="D92" s="5">
        <f>INDEX(ET.region!$A$51:$M$61,MATCH(ET.county!$B92,ET.region!$A$51:$A$61,0),MATCH(ET.county!D$1,ET.region!$A$51:$M$51,0))</f>
        <v>1.7637795275590555</v>
      </c>
      <c r="E92" s="5">
        <f>INDEX(ET.region!$A$51:$M$61,MATCH(ET.county!$B92,ET.region!$A$51:$A$61,0),MATCH(ET.county!E$1,ET.region!$A$51:$M$51,0))</f>
        <v>3.0877952755905511</v>
      </c>
      <c r="F92" s="5">
        <f>INDEX(ET.region!$A$51:$M$61,MATCH(ET.county!$B92,ET.region!$A$51:$A$61,0),MATCH(ET.county!F$1,ET.region!$A$51:$M$51,0))</f>
        <v>4.4763779527559056</v>
      </c>
      <c r="G92" s="5">
        <f>INDEX(ET.region!$A$51:$M$61,MATCH(ET.county!$B92,ET.region!$A$51:$A$61,0),MATCH(ET.county!G$1,ET.region!$A$51:$M$51,0))</f>
        <v>5.8216535433070868</v>
      </c>
      <c r="H92" s="5">
        <f>INDEX(ET.region!$A$51:$M$61,MATCH(ET.county!$B92,ET.region!$A$51:$A$61,0),MATCH(ET.county!H$1,ET.region!$A$51:$M$51,0))</f>
        <v>6.4842519685039379</v>
      </c>
      <c r="I92" s="5">
        <f>INDEX(ET.region!$A$51:$M$61,MATCH(ET.county!$B92,ET.region!$A$51:$A$61,0),MATCH(ET.county!I$1,ET.region!$A$51:$M$51,0))</f>
        <v>6.8346456692913389</v>
      </c>
      <c r="J92" s="5">
        <f>INDEX(ET.region!$A$51:$M$61,MATCH(ET.county!$B92,ET.region!$A$51:$A$61,0),MATCH(ET.county!J$1,ET.region!$A$51:$M$51,0))</f>
        <v>6.1267716535433072</v>
      </c>
      <c r="K92" s="5">
        <f>INDEX(ET.region!$A$51:$M$61,MATCH(ET.county!$B92,ET.region!$A$51:$A$61,0),MATCH(ET.county!K$1,ET.region!$A$51:$M$51,0))</f>
        <v>4.5826771653543314</v>
      </c>
      <c r="L92" s="5">
        <f>INDEX(ET.region!$A$51:$M$61,MATCH(ET.county!$B92,ET.region!$A$51:$A$61,0),MATCH(ET.county!L$1,ET.region!$A$51:$M$51,0))</f>
        <v>3.246456692913386</v>
      </c>
      <c r="M92" s="5">
        <f>INDEX(ET.region!$A$51:$M$61,MATCH(ET.county!$B92,ET.region!$A$51:$A$61,0),MATCH(ET.county!M$1,ET.region!$A$51:$M$51,0))</f>
        <v>1.9488188976377951</v>
      </c>
      <c r="N92" s="5">
        <f>INDEX(ET.region!$A$51:$M$61,MATCH(ET.county!$B92,ET.region!$A$51:$A$61,0),MATCH(ET.county!N$1,ET.region!$A$51:$M$51,0))</f>
        <v>1.3181102362204726</v>
      </c>
    </row>
    <row r="93" spans="1:14" x14ac:dyDescent="0.3">
      <c r="A93" t="s">
        <v>303</v>
      </c>
      <c r="B93" t="s">
        <v>389</v>
      </c>
      <c r="C93" s="5">
        <f>INDEX(ET.region!$A$51:$M$61,MATCH(ET.county!$B93,ET.region!$A$51:$A$61,0),MATCH(ET.county!C$1,ET.region!$A$51:$M$51,0))</f>
        <v>1.562204724409449</v>
      </c>
      <c r="D93" s="5">
        <f>INDEX(ET.region!$A$51:$M$61,MATCH(ET.county!$B93,ET.region!$A$51:$A$61,0),MATCH(ET.county!D$1,ET.region!$A$51:$M$51,0))</f>
        <v>2.0503937007874016</v>
      </c>
      <c r="E93" s="5">
        <f>INDEX(ET.region!$A$51:$M$61,MATCH(ET.county!$B93,ET.region!$A$51:$A$61,0),MATCH(ET.county!E$1,ET.region!$A$51:$M$51,0))</f>
        <v>3.5027559055118114</v>
      </c>
      <c r="F93" s="5">
        <f>INDEX(ET.region!$A$51:$M$61,MATCH(ET.county!$B93,ET.region!$A$51:$A$61,0),MATCH(ET.county!F$1,ET.region!$A$51:$M$51,0))</f>
        <v>4.9370078740157481</v>
      </c>
      <c r="G93" s="5">
        <f>INDEX(ET.region!$A$51:$M$61,MATCH(ET.county!$B93,ET.region!$A$51:$A$61,0),MATCH(ET.county!G$1,ET.region!$A$51:$M$51,0))</f>
        <v>6.2122047244094487</v>
      </c>
      <c r="H93" s="5">
        <f>INDEX(ET.region!$A$51:$M$61,MATCH(ET.county!$B93,ET.region!$A$51:$A$61,0),MATCH(ET.county!H$1,ET.region!$A$51:$M$51,0))</f>
        <v>6.6968503937007879</v>
      </c>
      <c r="I93" s="5">
        <f>INDEX(ET.region!$A$51:$M$61,MATCH(ET.county!$B93,ET.region!$A$51:$A$61,0),MATCH(ET.county!I$1,ET.region!$A$51:$M$51,0))</f>
        <v>6.9444881889763792</v>
      </c>
      <c r="J93" s="5">
        <f>INDEX(ET.region!$A$51:$M$61,MATCH(ET.county!$B93,ET.region!$A$51:$A$61,0),MATCH(ET.county!J$1,ET.region!$A$51:$M$51,0))</f>
        <v>6.2122047244094487</v>
      </c>
      <c r="K93" s="5">
        <f>INDEX(ET.region!$A$51:$M$61,MATCH(ET.county!$B93,ET.region!$A$51:$A$61,0),MATCH(ET.county!K$1,ET.region!$A$51:$M$51,0))</f>
        <v>4.7598425196850407</v>
      </c>
      <c r="L93" s="5">
        <f>INDEX(ET.region!$A$51:$M$61,MATCH(ET.county!$B93,ET.region!$A$51:$A$61,0),MATCH(ET.county!L$1,ET.region!$A$51:$M$51,0))</f>
        <v>3.4417322834645669</v>
      </c>
      <c r="M93" s="5">
        <f>INDEX(ET.region!$A$51:$M$61,MATCH(ET.county!$B93,ET.region!$A$51:$A$61,0),MATCH(ET.county!M$1,ET.region!$A$51:$M$51,0))</f>
        <v>2.1496062992125986</v>
      </c>
      <c r="N93" s="5">
        <f>INDEX(ET.region!$A$51:$M$61,MATCH(ET.county!$B93,ET.region!$A$51:$A$61,0),MATCH(ET.county!N$1,ET.region!$A$51:$M$51,0))</f>
        <v>1.5133858267716536</v>
      </c>
    </row>
    <row r="94" spans="1:14" x14ac:dyDescent="0.3">
      <c r="A94" t="s">
        <v>304</v>
      </c>
      <c r="B94" t="s">
        <v>395</v>
      </c>
      <c r="C94" s="5">
        <f>INDEX(ET.region!$A$51:$M$61,MATCH(ET.county!$B94,ET.region!$A$51:$A$61,0),MATCH(ET.county!C$1,ET.region!$A$51:$M$51,0))</f>
        <v>1.5255905511811025</v>
      </c>
      <c r="D94" s="5">
        <f>INDEX(ET.region!$A$51:$M$61,MATCH(ET.county!$B94,ET.region!$A$51:$A$61,0),MATCH(ET.county!D$1,ET.region!$A$51:$M$51,0))</f>
        <v>2.0173228346456695</v>
      </c>
      <c r="E94" s="5">
        <f>INDEX(ET.region!$A$51:$M$61,MATCH(ET.county!$B94,ET.region!$A$51:$A$61,0),MATCH(ET.county!E$1,ET.region!$A$51:$M$51,0))</f>
        <v>3.4905511811023624</v>
      </c>
      <c r="F94" s="5">
        <f>INDEX(ET.region!$A$51:$M$61,MATCH(ET.county!$B94,ET.region!$A$51:$A$61,0),MATCH(ET.county!F$1,ET.region!$A$51:$M$51,0))</f>
        <v>5.0551181102362204</v>
      </c>
      <c r="G94" s="5">
        <f>INDEX(ET.region!$A$51:$M$61,MATCH(ET.county!$B94,ET.region!$A$51:$A$61,0),MATCH(ET.county!G$1,ET.region!$A$51:$M$51,0))</f>
        <v>6.4318897637795267</v>
      </c>
      <c r="H94" s="5">
        <f>INDEX(ET.region!$A$51:$M$61,MATCH(ET.county!$B94,ET.region!$A$51:$A$61,0),MATCH(ET.county!H$1,ET.region!$A$51:$M$51,0))</f>
        <v>7.0748031496063</v>
      </c>
      <c r="I94" s="5">
        <f>INDEX(ET.region!$A$51:$M$61,MATCH(ET.county!$B94,ET.region!$A$51:$A$61,0),MATCH(ET.county!I$1,ET.region!$A$51:$M$51,0))</f>
        <v>7.359448818897639</v>
      </c>
      <c r="J94" s="5">
        <f>INDEX(ET.region!$A$51:$M$61,MATCH(ET.county!$B94,ET.region!$A$51:$A$61,0),MATCH(ET.county!J$1,ET.region!$A$51:$M$51,0))</f>
        <v>6.566141732283465</v>
      </c>
      <c r="K94" s="5">
        <f>INDEX(ET.region!$A$51:$M$61,MATCH(ET.county!$B94,ET.region!$A$51:$A$61,0),MATCH(ET.county!K$1,ET.region!$A$51:$M$51,0))</f>
        <v>4.9488188976377963</v>
      </c>
      <c r="L94" s="5">
        <f>INDEX(ET.region!$A$51:$M$61,MATCH(ET.county!$B94,ET.region!$A$51:$A$61,0),MATCH(ET.county!L$1,ET.region!$A$51:$M$51,0))</f>
        <v>3.5759842519685043</v>
      </c>
      <c r="M94" s="5">
        <f>INDEX(ET.region!$A$51:$M$61,MATCH(ET.county!$B94,ET.region!$A$51:$A$61,0),MATCH(ET.county!M$1,ET.region!$A$51:$M$51,0))</f>
        <v>2.1968503937007875</v>
      </c>
      <c r="N94" s="5">
        <f>INDEX(ET.region!$A$51:$M$61,MATCH(ET.county!$B94,ET.region!$A$51:$A$61,0),MATCH(ET.county!N$1,ET.region!$A$51:$M$51,0))</f>
        <v>1.5255905511811025</v>
      </c>
    </row>
    <row r="95" spans="1:14" x14ac:dyDescent="0.3">
      <c r="A95" t="s">
        <v>274</v>
      </c>
      <c r="B95" t="s">
        <v>386</v>
      </c>
      <c r="C95" s="5">
        <f>INDEX(ET.region!$A$51:$M$61,MATCH(ET.county!$B95,ET.region!$A$51:$A$61,0),MATCH(ET.county!C$1,ET.region!$A$51:$M$51,0))</f>
        <v>1.581</v>
      </c>
      <c r="D95" s="5">
        <f>INDEX(ET.region!$A$51:$M$61,MATCH(ET.county!$B95,ET.region!$A$51:$A$61,0),MATCH(ET.county!D$1,ET.region!$A$51:$M$51,0))</f>
        <v>1.9600000000000002</v>
      </c>
      <c r="E95" s="5">
        <f>INDEX(ET.region!$A$51:$M$61,MATCH(ET.county!$B95,ET.region!$A$51:$A$61,0),MATCH(ET.county!E$1,ET.region!$A$51:$M$51,0))</f>
        <v>3.2549999999999999</v>
      </c>
      <c r="F95" s="5">
        <f>INDEX(ET.region!$A$51:$M$61,MATCH(ET.county!$B95,ET.region!$A$51:$A$61,0),MATCH(ET.county!F$1,ET.region!$A$51:$M$51,0))</f>
        <v>4.59</v>
      </c>
      <c r="G95" s="5">
        <f>INDEX(ET.region!$A$51:$M$61,MATCH(ET.county!$B95,ET.region!$A$51:$A$61,0),MATCH(ET.county!G$1,ET.region!$A$51:$M$51,0))</f>
        <v>5.7969999999999997</v>
      </c>
      <c r="H95" s="5">
        <f>INDEX(ET.region!$A$51:$M$61,MATCH(ET.county!$B95,ET.region!$A$51:$A$61,0),MATCH(ET.county!H$1,ET.region!$A$51:$M$51,0))</f>
        <v>6.2399999999999993</v>
      </c>
      <c r="I95" s="5">
        <f>INDEX(ET.region!$A$51:$M$61,MATCH(ET.county!$B95,ET.region!$A$51:$A$61,0),MATCH(ET.county!I$1,ET.region!$A$51:$M$51,0))</f>
        <v>6.4790000000000001</v>
      </c>
      <c r="J95" s="5">
        <f>INDEX(ET.region!$A$51:$M$61,MATCH(ET.county!$B95,ET.region!$A$51:$A$61,0),MATCH(ET.county!J$1,ET.region!$A$51:$M$51,0))</f>
        <v>5.7350000000000003</v>
      </c>
      <c r="K95" s="5">
        <f>INDEX(ET.region!$A$51:$M$61,MATCH(ET.county!$B95,ET.region!$A$51:$A$61,0),MATCH(ET.county!K$1,ET.region!$A$51:$M$51,0))</f>
        <v>4.38</v>
      </c>
      <c r="L95" s="5">
        <f>INDEX(ET.region!$A$51:$M$61,MATCH(ET.county!$B95,ET.region!$A$51:$A$61,0),MATCH(ET.county!L$1,ET.region!$A$51:$M$51,0))</f>
        <v>3.2549999999999999</v>
      </c>
      <c r="M95" s="5">
        <f>INDEX(ET.region!$A$51:$M$61,MATCH(ET.county!$B95,ET.region!$A$51:$A$61,0),MATCH(ET.county!M$1,ET.region!$A$51:$M$51,0))</f>
        <v>2.0700000000000003</v>
      </c>
      <c r="N95" s="5">
        <f>INDEX(ET.region!$A$51:$M$61,MATCH(ET.county!$B95,ET.region!$A$51:$A$61,0),MATCH(ET.county!N$1,ET.region!$A$51:$M$51,0))</f>
        <v>1.55</v>
      </c>
    </row>
    <row r="96" spans="1:14" x14ac:dyDescent="0.3">
      <c r="A96" t="s">
        <v>311</v>
      </c>
      <c r="B96" t="s">
        <v>394</v>
      </c>
      <c r="C96" s="5">
        <f>INDEX(ET.region!$A$51:$M$61,MATCH(ET.county!$B96,ET.region!$A$51:$A$61,0),MATCH(ET.county!C$1,ET.region!$A$51:$M$51,0))</f>
        <v>1.3913385826771654</v>
      </c>
      <c r="D96" s="5">
        <f>INDEX(ET.region!$A$51:$M$61,MATCH(ET.county!$B96,ET.region!$A$51:$A$61,0),MATCH(ET.county!D$1,ET.region!$A$51:$M$51,0))</f>
        <v>1.7748031496062995</v>
      </c>
      <c r="E96" s="5">
        <f>INDEX(ET.region!$A$51:$M$61,MATCH(ET.county!$B96,ET.region!$A$51:$A$61,0),MATCH(ET.county!E$1,ET.region!$A$51:$M$51,0))</f>
        <v>3.0633858267716536</v>
      </c>
      <c r="F96" s="5">
        <f>INDEX(ET.region!$A$51:$M$61,MATCH(ET.county!$B96,ET.region!$A$51:$A$61,0),MATCH(ET.county!F$1,ET.region!$A$51:$M$51,0))</f>
        <v>4.4173228346456694</v>
      </c>
      <c r="G96" s="5">
        <f>INDEX(ET.region!$A$51:$M$61,MATCH(ET.county!$B96,ET.region!$A$51:$A$61,0),MATCH(ET.county!G$1,ET.region!$A$51:$M$51,0))</f>
        <v>5.7362204724409454</v>
      </c>
      <c r="H96" s="5">
        <f>INDEX(ET.region!$A$51:$M$61,MATCH(ET.county!$B96,ET.region!$A$51:$A$61,0),MATCH(ET.county!H$1,ET.region!$A$51:$M$51,0))</f>
        <v>6.3070866141732287</v>
      </c>
      <c r="I96" s="5">
        <f>INDEX(ET.region!$A$51:$M$61,MATCH(ET.county!$B96,ET.region!$A$51:$A$61,0),MATCH(ET.county!I$1,ET.region!$A$51:$M$51,0))</f>
        <v>6.5417322834645679</v>
      </c>
      <c r="J96" s="5">
        <f>INDEX(ET.region!$A$51:$M$61,MATCH(ET.county!$B96,ET.region!$A$51:$A$61,0),MATCH(ET.county!J$1,ET.region!$A$51:$M$51,0))</f>
        <v>5.9314960629921272</v>
      </c>
      <c r="K96" s="5">
        <f>INDEX(ET.region!$A$51:$M$61,MATCH(ET.county!$B96,ET.region!$A$51:$A$61,0),MATCH(ET.county!K$1,ET.region!$A$51:$M$51,0))</f>
        <v>4.5118110236220472</v>
      </c>
      <c r="L96" s="5">
        <f>INDEX(ET.region!$A$51:$M$61,MATCH(ET.county!$B96,ET.region!$A$51:$A$61,0),MATCH(ET.county!L$1,ET.region!$A$51:$M$51,0))</f>
        <v>3.270866141732284</v>
      </c>
      <c r="M96" s="5">
        <f>INDEX(ET.region!$A$51:$M$61,MATCH(ET.county!$B96,ET.region!$A$51:$A$61,0),MATCH(ET.county!M$1,ET.region!$A$51:$M$51,0))</f>
        <v>1.9724409448818898</v>
      </c>
      <c r="N96" s="5">
        <f>INDEX(ET.region!$A$51:$M$61,MATCH(ET.county!$B96,ET.region!$A$51:$A$61,0),MATCH(ET.county!N$1,ET.region!$A$51:$M$51,0))</f>
        <v>1.3547244094488189</v>
      </c>
    </row>
    <row r="97" spans="1:14" x14ac:dyDescent="0.3">
      <c r="A97" t="s">
        <v>338</v>
      </c>
      <c r="B97" t="s">
        <v>387</v>
      </c>
      <c r="C97" s="5">
        <f>INDEX(ET.region!$A$51:$M$61,MATCH(ET.county!$B97,ET.region!$A$51:$A$61,0),MATCH(ET.county!C$1,ET.region!$A$51:$M$51,0))</f>
        <v>1.5744094488188978</v>
      </c>
      <c r="D97" s="5">
        <f>INDEX(ET.region!$A$51:$M$61,MATCH(ET.county!$B97,ET.region!$A$51:$A$61,0),MATCH(ET.county!D$1,ET.region!$A$51:$M$51,0))</f>
        <v>2.0173228346456695</v>
      </c>
      <c r="E97" s="5">
        <f>INDEX(ET.region!$A$51:$M$61,MATCH(ET.county!$B97,ET.region!$A$51:$A$61,0),MATCH(ET.county!E$1,ET.region!$A$51:$M$51,0))</f>
        <v>3.4661417322834644</v>
      </c>
      <c r="F97" s="5">
        <f>INDEX(ET.region!$A$51:$M$61,MATCH(ET.county!$B97,ET.region!$A$51:$A$61,0),MATCH(ET.county!F$1,ET.region!$A$51:$M$51,0))</f>
        <v>4.877952755905512</v>
      </c>
      <c r="G97" s="5">
        <f>INDEX(ET.region!$A$51:$M$61,MATCH(ET.county!$B97,ET.region!$A$51:$A$61,0),MATCH(ET.county!G$1,ET.region!$A$51:$M$51,0))</f>
        <v>6.2976377952755911</v>
      </c>
      <c r="H97" s="5">
        <f>INDEX(ET.region!$A$51:$M$61,MATCH(ET.county!$B97,ET.region!$A$51:$A$61,0),MATCH(ET.county!H$1,ET.region!$A$51:$M$51,0))</f>
        <v>6.6968503937007879</v>
      </c>
      <c r="I97" s="5">
        <f>INDEX(ET.region!$A$51:$M$61,MATCH(ET.county!$B97,ET.region!$A$51:$A$61,0),MATCH(ET.county!I$1,ET.region!$A$51:$M$51,0))</f>
        <v>6.8346456692913389</v>
      </c>
      <c r="J97" s="5">
        <f>INDEX(ET.region!$A$51:$M$61,MATCH(ET.county!$B97,ET.region!$A$51:$A$61,0),MATCH(ET.county!J$1,ET.region!$A$51:$M$51,0))</f>
        <v>6.1145669291338578</v>
      </c>
      <c r="K97" s="5">
        <f>INDEX(ET.region!$A$51:$M$61,MATCH(ET.county!$B97,ET.region!$A$51:$A$61,0),MATCH(ET.county!K$1,ET.region!$A$51:$M$51,0))</f>
        <v>4.7125984251968509</v>
      </c>
      <c r="L97" s="5">
        <f>INDEX(ET.region!$A$51:$M$61,MATCH(ET.county!$B97,ET.region!$A$51:$A$61,0),MATCH(ET.county!L$1,ET.region!$A$51:$M$51,0))</f>
        <v>3.4661417322834644</v>
      </c>
      <c r="M97" s="5">
        <f>INDEX(ET.region!$A$51:$M$61,MATCH(ET.county!$B97,ET.region!$A$51:$A$61,0),MATCH(ET.county!M$1,ET.region!$A$51:$M$51,0))</f>
        <v>2.1968503937007875</v>
      </c>
      <c r="N97" s="5">
        <f>INDEX(ET.region!$A$51:$M$61,MATCH(ET.county!$B97,ET.region!$A$51:$A$61,0),MATCH(ET.county!N$1,ET.region!$A$51:$M$51,0))</f>
        <v>1.55</v>
      </c>
    </row>
    <row r="98" spans="1:14" x14ac:dyDescent="0.3">
      <c r="A98" t="s">
        <v>360</v>
      </c>
      <c r="B98" t="s">
        <v>393</v>
      </c>
      <c r="C98" s="5">
        <f>INDEX(ET.region!$A$51:$M$61,MATCH(ET.county!$B98,ET.region!$A$51:$A$61,0),MATCH(ET.county!C$1,ET.region!$A$51:$M$51,0))</f>
        <v>1.4523622047244096</v>
      </c>
      <c r="D98" s="5">
        <f>INDEX(ET.region!$A$51:$M$61,MATCH(ET.county!$B98,ET.region!$A$51:$A$61,0),MATCH(ET.county!D$1,ET.region!$A$51:$M$51,0))</f>
        <v>1.8850393700787402</v>
      </c>
      <c r="E98" s="5">
        <f>INDEX(ET.region!$A$51:$M$61,MATCH(ET.county!$B98,ET.region!$A$51:$A$61,0),MATCH(ET.county!E$1,ET.region!$A$51:$M$51,0))</f>
        <v>3.1610236220472441</v>
      </c>
      <c r="F98" s="5">
        <f>INDEX(ET.region!$A$51:$M$61,MATCH(ET.county!$B98,ET.region!$A$51:$A$61,0),MATCH(ET.county!F$1,ET.region!$A$51:$M$51,0))</f>
        <v>4.346456692913387</v>
      </c>
      <c r="G98" s="5">
        <f>INDEX(ET.region!$A$51:$M$61,MATCH(ET.county!$B98,ET.region!$A$51:$A$61,0),MATCH(ET.county!G$1,ET.region!$A$51:$M$51,0))</f>
        <v>5.333464566929135</v>
      </c>
      <c r="H98" s="5">
        <f>INDEX(ET.region!$A$51:$M$61,MATCH(ET.county!$B98,ET.region!$A$51:$A$61,0),MATCH(ET.county!H$1,ET.region!$A$51:$M$51,0))</f>
        <v>5.5748031496062991</v>
      </c>
      <c r="I98" s="5">
        <f>INDEX(ET.region!$A$51:$M$61,MATCH(ET.county!$B98,ET.region!$A$51:$A$61,0),MATCH(ET.county!I$1,ET.region!$A$51:$M$51,0))</f>
        <v>5.6751968503937018</v>
      </c>
      <c r="J98" s="5">
        <f>INDEX(ET.region!$A$51:$M$61,MATCH(ET.county!$B98,ET.region!$A$51:$A$61,0),MATCH(ET.county!J$1,ET.region!$A$51:$M$51,0))</f>
        <v>5.0893700787401581</v>
      </c>
      <c r="K98" s="5">
        <f>INDEX(ET.region!$A$51:$M$61,MATCH(ET.county!$B98,ET.region!$A$51:$A$61,0),MATCH(ET.county!K$1,ET.region!$A$51:$M$51,0))</f>
        <v>4.015748031496063</v>
      </c>
      <c r="L98" s="5">
        <f>INDEX(ET.region!$A$51:$M$61,MATCH(ET.county!$B98,ET.region!$A$51:$A$61,0),MATCH(ET.county!L$1,ET.region!$A$51:$M$51,0))</f>
        <v>3.0633858267716536</v>
      </c>
      <c r="M98" s="5">
        <f>INDEX(ET.region!$A$51:$M$61,MATCH(ET.county!$B98,ET.region!$A$51:$A$61,0),MATCH(ET.county!M$1,ET.region!$A$51:$M$51,0))</f>
        <v>1.9606299212598426</v>
      </c>
      <c r="N98" s="5">
        <f>INDEX(ET.region!$A$51:$M$61,MATCH(ET.county!$B98,ET.region!$A$51:$A$61,0),MATCH(ET.county!N$1,ET.region!$A$51:$M$51,0))</f>
        <v>1.3913385826771654</v>
      </c>
    </row>
    <row r="99" spans="1:14" x14ac:dyDescent="0.3">
      <c r="A99" t="s">
        <v>293</v>
      </c>
      <c r="B99" t="s">
        <v>387</v>
      </c>
      <c r="C99" s="5">
        <f>INDEX(ET.region!$A$51:$M$61,MATCH(ET.county!$B99,ET.region!$A$51:$A$61,0),MATCH(ET.county!C$1,ET.region!$A$51:$M$51,0))</f>
        <v>1.5744094488188978</v>
      </c>
      <c r="D99" s="5">
        <f>INDEX(ET.region!$A$51:$M$61,MATCH(ET.county!$B99,ET.region!$A$51:$A$61,0),MATCH(ET.county!D$1,ET.region!$A$51:$M$51,0))</f>
        <v>2.0173228346456695</v>
      </c>
      <c r="E99" s="5">
        <f>INDEX(ET.region!$A$51:$M$61,MATCH(ET.county!$B99,ET.region!$A$51:$A$61,0),MATCH(ET.county!E$1,ET.region!$A$51:$M$51,0))</f>
        <v>3.4661417322834644</v>
      </c>
      <c r="F99" s="5">
        <f>INDEX(ET.region!$A$51:$M$61,MATCH(ET.county!$B99,ET.region!$A$51:$A$61,0),MATCH(ET.county!F$1,ET.region!$A$51:$M$51,0))</f>
        <v>4.877952755905512</v>
      </c>
      <c r="G99" s="5">
        <f>INDEX(ET.region!$A$51:$M$61,MATCH(ET.county!$B99,ET.region!$A$51:$A$61,0),MATCH(ET.county!G$1,ET.region!$A$51:$M$51,0))</f>
        <v>6.2976377952755911</v>
      </c>
      <c r="H99" s="5">
        <f>INDEX(ET.region!$A$51:$M$61,MATCH(ET.county!$B99,ET.region!$A$51:$A$61,0),MATCH(ET.county!H$1,ET.region!$A$51:$M$51,0))</f>
        <v>6.6968503937007879</v>
      </c>
      <c r="I99" s="5">
        <f>INDEX(ET.region!$A$51:$M$61,MATCH(ET.county!$B99,ET.region!$A$51:$A$61,0),MATCH(ET.county!I$1,ET.region!$A$51:$M$51,0))</f>
        <v>6.8346456692913389</v>
      </c>
      <c r="J99" s="5">
        <f>INDEX(ET.region!$A$51:$M$61,MATCH(ET.county!$B99,ET.region!$A$51:$A$61,0),MATCH(ET.county!J$1,ET.region!$A$51:$M$51,0))</f>
        <v>6.1145669291338578</v>
      </c>
      <c r="K99" s="5">
        <f>INDEX(ET.region!$A$51:$M$61,MATCH(ET.county!$B99,ET.region!$A$51:$A$61,0),MATCH(ET.county!K$1,ET.region!$A$51:$M$51,0))</f>
        <v>4.7125984251968509</v>
      </c>
      <c r="L99" s="5">
        <f>INDEX(ET.region!$A$51:$M$61,MATCH(ET.county!$B99,ET.region!$A$51:$A$61,0),MATCH(ET.county!L$1,ET.region!$A$51:$M$51,0))</f>
        <v>3.4661417322834644</v>
      </c>
      <c r="M99" s="5">
        <f>INDEX(ET.region!$A$51:$M$61,MATCH(ET.county!$B99,ET.region!$A$51:$A$61,0),MATCH(ET.county!M$1,ET.region!$A$51:$M$51,0))</f>
        <v>2.1968503937007875</v>
      </c>
      <c r="N99" s="5">
        <f>INDEX(ET.region!$A$51:$M$61,MATCH(ET.county!$B99,ET.region!$A$51:$A$61,0),MATCH(ET.county!N$1,ET.region!$A$51:$M$51,0))</f>
        <v>1.55</v>
      </c>
    </row>
    <row r="100" spans="1:14" x14ac:dyDescent="0.3">
      <c r="A100" t="s">
        <v>382</v>
      </c>
      <c r="B100" t="s">
        <v>391</v>
      </c>
      <c r="C100" s="5">
        <f>INDEX(ET.region!$A$51:$M$61,MATCH(ET.county!$B100,ET.region!$A$51:$A$61,0),MATCH(ET.county!C$1,ET.region!$A$51:$M$51,0))</f>
        <v>1.3425196850393704</v>
      </c>
      <c r="D100" s="5">
        <f>INDEX(ET.region!$A$51:$M$61,MATCH(ET.county!$B100,ET.region!$A$51:$A$61,0),MATCH(ET.county!D$1,ET.region!$A$51:$M$51,0))</f>
        <v>1.7637795275590555</v>
      </c>
      <c r="E100" s="5">
        <f>INDEX(ET.region!$A$51:$M$61,MATCH(ET.county!$B100,ET.region!$A$51:$A$61,0),MATCH(ET.county!E$1,ET.region!$A$51:$M$51,0))</f>
        <v>3.0877952755905511</v>
      </c>
      <c r="F100" s="5">
        <f>INDEX(ET.region!$A$51:$M$61,MATCH(ET.county!$B100,ET.region!$A$51:$A$61,0),MATCH(ET.county!F$1,ET.region!$A$51:$M$51,0))</f>
        <v>4.4763779527559056</v>
      </c>
      <c r="G100" s="5">
        <f>INDEX(ET.region!$A$51:$M$61,MATCH(ET.county!$B100,ET.region!$A$51:$A$61,0),MATCH(ET.county!G$1,ET.region!$A$51:$M$51,0))</f>
        <v>5.8216535433070868</v>
      </c>
      <c r="H100" s="5">
        <f>INDEX(ET.region!$A$51:$M$61,MATCH(ET.county!$B100,ET.region!$A$51:$A$61,0),MATCH(ET.county!H$1,ET.region!$A$51:$M$51,0))</f>
        <v>6.4842519685039379</v>
      </c>
      <c r="I100" s="5">
        <f>INDEX(ET.region!$A$51:$M$61,MATCH(ET.county!$B100,ET.region!$A$51:$A$61,0),MATCH(ET.county!I$1,ET.region!$A$51:$M$51,0))</f>
        <v>6.8346456692913389</v>
      </c>
      <c r="J100" s="5">
        <f>INDEX(ET.region!$A$51:$M$61,MATCH(ET.county!$B100,ET.region!$A$51:$A$61,0),MATCH(ET.county!J$1,ET.region!$A$51:$M$51,0))</f>
        <v>6.1267716535433072</v>
      </c>
      <c r="K100" s="5">
        <f>INDEX(ET.region!$A$51:$M$61,MATCH(ET.county!$B100,ET.region!$A$51:$A$61,0),MATCH(ET.county!K$1,ET.region!$A$51:$M$51,0))</f>
        <v>4.5826771653543314</v>
      </c>
      <c r="L100" s="5">
        <f>INDEX(ET.region!$A$51:$M$61,MATCH(ET.county!$B100,ET.region!$A$51:$A$61,0),MATCH(ET.county!L$1,ET.region!$A$51:$M$51,0))</f>
        <v>3.246456692913386</v>
      </c>
      <c r="M100" s="5">
        <f>INDEX(ET.region!$A$51:$M$61,MATCH(ET.county!$B100,ET.region!$A$51:$A$61,0),MATCH(ET.county!M$1,ET.region!$A$51:$M$51,0))</f>
        <v>1.9488188976377951</v>
      </c>
      <c r="N100" s="5">
        <f>INDEX(ET.region!$A$51:$M$61,MATCH(ET.county!$B100,ET.region!$A$51:$A$61,0),MATCH(ET.county!N$1,ET.region!$A$51:$M$51,0))</f>
        <v>1.3181102362204726</v>
      </c>
    </row>
    <row r="101" spans="1:14" x14ac:dyDescent="0.3">
      <c r="A101" t="s">
        <v>320</v>
      </c>
      <c r="B101" t="s">
        <v>394</v>
      </c>
      <c r="C101" s="5">
        <f>INDEX(ET.region!$A$51:$M$61,MATCH(ET.county!$B101,ET.region!$A$51:$A$61,0),MATCH(ET.county!C$1,ET.region!$A$51:$M$51,0))</f>
        <v>1.3913385826771654</v>
      </c>
      <c r="D101" s="5">
        <f>INDEX(ET.region!$A$51:$M$61,MATCH(ET.county!$B101,ET.region!$A$51:$A$61,0),MATCH(ET.county!D$1,ET.region!$A$51:$M$51,0))</f>
        <v>1.7748031496062995</v>
      </c>
      <c r="E101" s="5">
        <f>INDEX(ET.region!$A$51:$M$61,MATCH(ET.county!$B101,ET.region!$A$51:$A$61,0),MATCH(ET.county!E$1,ET.region!$A$51:$M$51,0))</f>
        <v>3.0633858267716536</v>
      </c>
      <c r="F101" s="5">
        <f>INDEX(ET.region!$A$51:$M$61,MATCH(ET.county!$B101,ET.region!$A$51:$A$61,0),MATCH(ET.county!F$1,ET.region!$A$51:$M$51,0))</f>
        <v>4.4173228346456694</v>
      </c>
      <c r="G101" s="5">
        <f>INDEX(ET.region!$A$51:$M$61,MATCH(ET.county!$B101,ET.region!$A$51:$A$61,0),MATCH(ET.county!G$1,ET.region!$A$51:$M$51,0))</f>
        <v>5.7362204724409454</v>
      </c>
      <c r="H101" s="5">
        <f>INDEX(ET.region!$A$51:$M$61,MATCH(ET.county!$B101,ET.region!$A$51:$A$61,0),MATCH(ET.county!H$1,ET.region!$A$51:$M$51,0))</f>
        <v>6.3070866141732287</v>
      </c>
      <c r="I101" s="5">
        <f>INDEX(ET.region!$A$51:$M$61,MATCH(ET.county!$B101,ET.region!$A$51:$A$61,0),MATCH(ET.county!I$1,ET.region!$A$51:$M$51,0))</f>
        <v>6.5417322834645679</v>
      </c>
      <c r="J101" s="5">
        <f>INDEX(ET.region!$A$51:$M$61,MATCH(ET.county!$B101,ET.region!$A$51:$A$61,0),MATCH(ET.county!J$1,ET.region!$A$51:$M$51,0))</f>
        <v>5.9314960629921272</v>
      </c>
      <c r="K101" s="5">
        <f>INDEX(ET.region!$A$51:$M$61,MATCH(ET.county!$B101,ET.region!$A$51:$A$61,0),MATCH(ET.county!K$1,ET.region!$A$51:$M$51,0))</f>
        <v>4.5118110236220472</v>
      </c>
      <c r="L101" s="5">
        <f>INDEX(ET.region!$A$51:$M$61,MATCH(ET.county!$B101,ET.region!$A$51:$A$61,0),MATCH(ET.county!L$1,ET.region!$A$51:$M$51,0))</f>
        <v>3.270866141732284</v>
      </c>
      <c r="M101" s="5">
        <f>INDEX(ET.region!$A$51:$M$61,MATCH(ET.county!$B101,ET.region!$A$51:$A$61,0),MATCH(ET.county!M$1,ET.region!$A$51:$M$51,0))</f>
        <v>1.9724409448818898</v>
      </c>
      <c r="N101" s="5">
        <f>INDEX(ET.region!$A$51:$M$61,MATCH(ET.county!$B101,ET.region!$A$51:$A$61,0),MATCH(ET.county!N$1,ET.region!$A$51:$M$51,0))</f>
        <v>1.3547244094488189</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dimension ref="A1:O63"/>
  <sheetViews>
    <sheetView workbookViewId="0"/>
  </sheetViews>
  <sheetFormatPr defaultRowHeight="14.4" x14ac:dyDescent="0.3"/>
  <cols>
    <col min="4" max="5" width="10.44140625" customWidth="1"/>
    <col min="7" max="7" width="15.5546875" customWidth="1"/>
    <col min="8" max="8" width="9.88671875" customWidth="1"/>
  </cols>
  <sheetData>
    <row r="1" spans="1:15" x14ac:dyDescent="0.3">
      <c r="A1" t="s">
        <v>397</v>
      </c>
      <c r="B1">
        <v>1</v>
      </c>
      <c r="C1">
        <v>2</v>
      </c>
      <c r="D1">
        <v>3</v>
      </c>
      <c r="E1">
        <v>4</v>
      </c>
      <c r="F1">
        <v>5</v>
      </c>
      <c r="G1">
        <v>6</v>
      </c>
      <c r="H1">
        <v>7</v>
      </c>
      <c r="I1">
        <v>8</v>
      </c>
      <c r="J1">
        <v>9</v>
      </c>
      <c r="K1">
        <v>10</v>
      </c>
      <c r="L1" t="s">
        <v>64</v>
      </c>
    </row>
    <row r="2" spans="1:15" x14ac:dyDescent="0.3">
      <c r="B2" t="s">
        <v>385</v>
      </c>
      <c r="C2" t="s">
        <v>385</v>
      </c>
      <c r="D2" t="s">
        <v>385</v>
      </c>
      <c r="E2" t="s">
        <v>385</v>
      </c>
      <c r="F2" t="s">
        <v>385</v>
      </c>
      <c r="G2" t="s">
        <v>385</v>
      </c>
      <c r="H2" t="s">
        <v>385</v>
      </c>
      <c r="I2" t="s">
        <v>385</v>
      </c>
      <c r="J2" t="s">
        <v>385</v>
      </c>
      <c r="K2" t="s">
        <v>385</v>
      </c>
    </row>
    <row r="3" spans="1:15" x14ac:dyDescent="0.3">
      <c r="A3" t="s">
        <v>64</v>
      </c>
      <c r="B3" t="s">
        <v>386</v>
      </c>
      <c r="C3" t="s">
        <v>395</v>
      </c>
      <c r="D3" t="s">
        <v>387</v>
      </c>
      <c r="E3" t="s">
        <v>388</v>
      </c>
      <c r="F3" t="s">
        <v>389</v>
      </c>
      <c r="G3" t="s">
        <v>390</v>
      </c>
      <c r="H3" t="s">
        <v>391</v>
      </c>
      <c r="I3" t="s">
        <v>392</v>
      </c>
      <c r="J3" t="s">
        <v>393</v>
      </c>
      <c r="K3" t="s">
        <v>394</v>
      </c>
      <c r="N3" t="s">
        <v>396</v>
      </c>
      <c r="O3" t="s">
        <v>718</v>
      </c>
    </row>
    <row r="4" spans="1:15" x14ac:dyDescent="0.3">
      <c r="A4">
        <v>1</v>
      </c>
      <c r="B4" s="1">
        <v>5.0999999999999997E-2</v>
      </c>
      <c r="C4" s="1">
        <v>4.9212598425196853E-2</v>
      </c>
      <c r="D4" s="1">
        <v>5.0787401574803152E-2</v>
      </c>
      <c r="E4" s="1">
        <v>5.4724409448818893E-2</v>
      </c>
      <c r="F4" s="1">
        <v>5.0393700787401581E-2</v>
      </c>
      <c r="G4" s="1">
        <v>4.8425196850393704E-2</v>
      </c>
      <c r="H4" s="1">
        <v>4.3307086614173235E-2</v>
      </c>
      <c r="I4" s="1">
        <v>4.8031496062992125E-2</v>
      </c>
      <c r="J4" s="1">
        <v>4.6850393700787404E-2</v>
      </c>
      <c r="K4" s="1">
        <v>4.4881889763779527E-2</v>
      </c>
      <c r="N4" s="4">
        <v>1</v>
      </c>
      <c r="O4" s="4">
        <v>31</v>
      </c>
    </row>
    <row r="5" spans="1:15" x14ac:dyDescent="0.3">
      <c r="A5">
        <v>2</v>
      </c>
      <c r="B5" s="1">
        <v>7.0000000000000007E-2</v>
      </c>
      <c r="C5" s="1">
        <v>7.2047244094488191E-2</v>
      </c>
      <c r="D5" s="1">
        <v>7.2047244094488191E-2</v>
      </c>
      <c r="E5" s="1">
        <v>7.6771653543307089E-2</v>
      </c>
      <c r="F5" s="1">
        <v>7.3228346456692919E-2</v>
      </c>
      <c r="G5" s="1">
        <v>7.0078740157480321E-2</v>
      </c>
      <c r="H5" s="1">
        <v>6.2992125984251982E-2</v>
      </c>
      <c r="I5" s="1">
        <v>6.9291338582677164E-2</v>
      </c>
      <c r="J5" s="1">
        <v>6.7322834645669294E-2</v>
      </c>
      <c r="K5" s="1">
        <v>6.3385826771653553E-2</v>
      </c>
      <c r="N5" s="4">
        <v>2</v>
      </c>
      <c r="O5" s="4">
        <v>28</v>
      </c>
    </row>
    <row r="6" spans="1:15" x14ac:dyDescent="0.3">
      <c r="A6">
        <v>3</v>
      </c>
      <c r="B6" s="1">
        <v>0.105</v>
      </c>
      <c r="C6" s="1">
        <v>0.1125984251968504</v>
      </c>
      <c r="D6" s="1">
        <v>0.11181102362204724</v>
      </c>
      <c r="E6" s="1">
        <v>0.11692913385826773</v>
      </c>
      <c r="F6" s="1">
        <v>0.11299212598425198</v>
      </c>
      <c r="G6" s="1">
        <v>0.10984251968503937</v>
      </c>
      <c r="H6" s="1">
        <v>9.960629921259842E-2</v>
      </c>
      <c r="I6" s="1">
        <v>0.10629921259842522</v>
      </c>
      <c r="J6" s="1">
        <v>0.10196850393700788</v>
      </c>
      <c r="K6" s="1">
        <v>9.8818897637795278E-2</v>
      </c>
      <c r="N6" s="4">
        <v>3</v>
      </c>
      <c r="O6" s="4">
        <v>31</v>
      </c>
    </row>
    <row r="7" spans="1:15" x14ac:dyDescent="0.3">
      <c r="A7">
        <v>4</v>
      </c>
      <c r="B7" s="1">
        <v>0.153</v>
      </c>
      <c r="C7" s="1">
        <v>0.16850393700787403</v>
      </c>
      <c r="D7" s="1">
        <v>0.16259842519685039</v>
      </c>
      <c r="E7" s="1">
        <v>0.16574803149606299</v>
      </c>
      <c r="F7" s="1">
        <v>0.16456692913385826</v>
      </c>
      <c r="G7" s="1">
        <v>0.16220472440944883</v>
      </c>
      <c r="H7" s="1">
        <v>0.14921259842519685</v>
      </c>
      <c r="I7" s="1">
        <v>0.15669291338582678</v>
      </c>
      <c r="J7" s="1">
        <v>0.14488188976377955</v>
      </c>
      <c r="K7" s="1">
        <v>0.14724409448818898</v>
      </c>
      <c r="N7" s="4">
        <v>4</v>
      </c>
      <c r="O7" s="4">
        <v>30</v>
      </c>
    </row>
    <row r="8" spans="1:15" x14ac:dyDescent="0.3">
      <c r="A8">
        <v>5</v>
      </c>
      <c r="B8" s="1">
        <v>0.187</v>
      </c>
      <c r="C8" s="1">
        <v>0.20748031496062991</v>
      </c>
      <c r="D8" s="1">
        <v>0.20314960629921261</v>
      </c>
      <c r="E8" s="1">
        <v>0.20314960629921261</v>
      </c>
      <c r="F8" s="1">
        <v>0.20039370078740157</v>
      </c>
      <c r="G8" s="1">
        <v>0.19921259842519684</v>
      </c>
      <c r="H8" s="1">
        <v>0.18779527559055118</v>
      </c>
      <c r="I8" s="1">
        <v>0.19409448818897637</v>
      </c>
      <c r="J8" s="1">
        <v>0.17204724409448821</v>
      </c>
      <c r="K8" s="1">
        <v>0.18503937007874016</v>
      </c>
      <c r="N8" s="4">
        <v>5</v>
      </c>
      <c r="O8" s="4">
        <v>31</v>
      </c>
    </row>
    <row r="9" spans="1:15" x14ac:dyDescent="0.3">
      <c r="A9">
        <v>6</v>
      </c>
      <c r="B9" s="1">
        <v>0.20799999999999999</v>
      </c>
      <c r="C9" s="1">
        <v>0.23582677165354332</v>
      </c>
      <c r="D9" s="1">
        <v>0.22322834645669293</v>
      </c>
      <c r="E9" s="1">
        <v>0.22047244094488189</v>
      </c>
      <c r="F9" s="1">
        <v>0.22322834645669293</v>
      </c>
      <c r="G9" s="1">
        <v>0.22480314960629921</v>
      </c>
      <c r="H9" s="1">
        <v>0.21614173228346459</v>
      </c>
      <c r="I9" s="1">
        <v>0.22165354330708661</v>
      </c>
      <c r="J9" s="1">
        <v>0.1858267716535433</v>
      </c>
      <c r="K9" s="1">
        <v>0.21023622047244095</v>
      </c>
      <c r="N9" s="4">
        <v>6</v>
      </c>
      <c r="O9" s="4">
        <v>30</v>
      </c>
    </row>
    <row r="10" spans="1:15" x14ac:dyDescent="0.3">
      <c r="A10">
        <v>7</v>
      </c>
      <c r="B10" s="1">
        <v>0.20899999999999999</v>
      </c>
      <c r="C10" s="1">
        <v>0.23740157480314963</v>
      </c>
      <c r="D10" s="1">
        <v>0.22047244094488189</v>
      </c>
      <c r="E10" s="1">
        <v>0.22125984251968506</v>
      </c>
      <c r="F10" s="1">
        <v>0.2240157480314961</v>
      </c>
      <c r="G10" s="1">
        <v>0.22598425196850397</v>
      </c>
      <c r="H10" s="1">
        <v>0.22047244094488189</v>
      </c>
      <c r="I10" s="1">
        <v>0.22362204724409449</v>
      </c>
      <c r="J10" s="1">
        <v>0.18307086614173232</v>
      </c>
      <c r="K10" s="1">
        <v>0.21102362204724412</v>
      </c>
      <c r="N10" s="4">
        <v>7</v>
      </c>
      <c r="O10" s="4">
        <v>31</v>
      </c>
    </row>
    <row r="11" spans="1:15" x14ac:dyDescent="0.3">
      <c r="A11">
        <v>8</v>
      </c>
      <c r="B11" s="1">
        <v>0.185</v>
      </c>
      <c r="C11" s="1">
        <v>0.21181102362204726</v>
      </c>
      <c r="D11" s="1">
        <v>0.19724409448818897</v>
      </c>
      <c r="E11" s="1">
        <v>0.19921259842519684</v>
      </c>
      <c r="F11" s="1">
        <v>0.20039370078740157</v>
      </c>
      <c r="G11" s="1">
        <v>0.20078740157480315</v>
      </c>
      <c r="H11" s="1">
        <v>0.19763779527559056</v>
      </c>
      <c r="I11" s="1">
        <v>0.19921259842519684</v>
      </c>
      <c r="J11" s="1">
        <v>0.1641732283464567</v>
      </c>
      <c r="K11" s="1">
        <v>0.19133858267716539</v>
      </c>
      <c r="N11" s="4">
        <v>8</v>
      </c>
      <c r="O11" s="4">
        <v>31</v>
      </c>
    </row>
    <row r="12" spans="1:15" x14ac:dyDescent="0.3">
      <c r="A12">
        <v>9</v>
      </c>
      <c r="B12" s="1">
        <v>0.14599999999999999</v>
      </c>
      <c r="C12" s="1">
        <v>0.16496062992125987</v>
      </c>
      <c r="D12" s="1">
        <v>0.15708661417322836</v>
      </c>
      <c r="E12" s="1">
        <v>0.16220472440944883</v>
      </c>
      <c r="F12" s="1">
        <v>0.15866141732283467</v>
      </c>
      <c r="G12" s="1">
        <v>0.15905511811023623</v>
      </c>
      <c r="H12" s="1">
        <v>0.15275590551181104</v>
      </c>
      <c r="I12" s="1">
        <v>0.15708661417322836</v>
      </c>
      <c r="J12" s="1">
        <v>0.13385826771653545</v>
      </c>
      <c r="K12" s="1">
        <v>0.15039370078740158</v>
      </c>
      <c r="N12" s="4">
        <v>9</v>
      </c>
      <c r="O12" s="4">
        <v>30</v>
      </c>
    </row>
    <row r="13" spans="1:15" x14ac:dyDescent="0.3">
      <c r="A13">
        <v>10</v>
      </c>
      <c r="B13" s="1">
        <v>0.105</v>
      </c>
      <c r="C13" s="1">
        <v>0.11535433070866143</v>
      </c>
      <c r="D13" s="1">
        <v>0.11181102362204724</v>
      </c>
      <c r="E13" s="1">
        <v>0.1173228346456693</v>
      </c>
      <c r="F13" s="1">
        <v>0.1110236220472441</v>
      </c>
      <c r="G13" s="1">
        <v>0.10984251968503937</v>
      </c>
      <c r="H13" s="1">
        <v>0.1047244094488189</v>
      </c>
      <c r="I13" s="1">
        <v>0.11023622047244094</v>
      </c>
      <c r="J13" s="1">
        <v>9.8818897637795278E-2</v>
      </c>
      <c r="K13" s="1">
        <v>0.10551181102362206</v>
      </c>
      <c r="N13" s="4">
        <v>10</v>
      </c>
      <c r="O13" s="4">
        <v>31</v>
      </c>
    </row>
    <row r="14" spans="1:15" x14ac:dyDescent="0.3">
      <c r="A14">
        <v>11</v>
      </c>
      <c r="B14" s="1">
        <v>6.9000000000000006E-2</v>
      </c>
      <c r="C14" s="1">
        <v>7.3228346456692919E-2</v>
      </c>
      <c r="D14" s="1">
        <v>7.3228346456692919E-2</v>
      </c>
      <c r="E14" s="1">
        <v>7.874015748031496E-2</v>
      </c>
      <c r="F14" s="1">
        <v>7.165354330708662E-2</v>
      </c>
      <c r="G14" s="1">
        <v>6.968503937007875E-2</v>
      </c>
      <c r="H14" s="1">
        <v>6.4960629921259838E-2</v>
      </c>
      <c r="I14" s="1">
        <v>7.0472440944881892E-2</v>
      </c>
      <c r="J14" s="1">
        <v>6.5354330708661423E-2</v>
      </c>
      <c r="K14" s="1">
        <v>6.5748031496062995E-2</v>
      </c>
      <c r="N14" s="4">
        <v>11</v>
      </c>
      <c r="O14" s="4">
        <v>30</v>
      </c>
    </row>
    <row r="15" spans="1:15" x14ac:dyDescent="0.3">
      <c r="A15">
        <v>12</v>
      </c>
      <c r="B15" s="1">
        <v>0.05</v>
      </c>
      <c r="C15" s="1">
        <v>4.9212598425196853E-2</v>
      </c>
      <c r="D15" s="1">
        <v>0.05</v>
      </c>
      <c r="E15" s="1">
        <v>5.4330708661417322E-2</v>
      </c>
      <c r="F15" s="1">
        <v>4.8818897637795275E-2</v>
      </c>
      <c r="G15" s="1">
        <v>4.8031496062992125E-2</v>
      </c>
      <c r="H15" s="1">
        <v>4.2519685039370085E-2</v>
      </c>
      <c r="I15" s="1">
        <v>4.6850393700787404E-2</v>
      </c>
      <c r="J15" s="1">
        <v>4.4881889763779527E-2</v>
      </c>
      <c r="K15" s="1">
        <v>4.3700787401574806E-2</v>
      </c>
      <c r="N15" s="4">
        <v>12</v>
      </c>
      <c r="O15" s="4">
        <v>31</v>
      </c>
    </row>
    <row r="16" spans="1:15" x14ac:dyDescent="0.3">
      <c r="A16" t="s">
        <v>717</v>
      </c>
    </row>
    <row r="17" spans="1:11" x14ac:dyDescent="0.3">
      <c r="A17" t="s">
        <v>397</v>
      </c>
      <c r="B17">
        <v>1</v>
      </c>
      <c r="C17">
        <v>2</v>
      </c>
      <c r="D17">
        <v>3</v>
      </c>
      <c r="E17">
        <v>4</v>
      </c>
      <c r="F17">
        <v>5</v>
      </c>
      <c r="G17">
        <v>6</v>
      </c>
      <c r="H17">
        <v>7</v>
      </c>
      <c r="I17">
        <v>8</v>
      </c>
      <c r="J17">
        <v>9</v>
      </c>
      <c r="K17">
        <v>10</v>
      </c>
    </row>
    <row r="18" spans="1:11" x14ac:dyDescent="0.3">
      <c r="B18" t="s">
        <v>385</v>
      </c>
      <c r="C18" t="s">
        <v>385</v>
      </c>
      <c r="D18" t="s">
        <v>385</v>
      </c>
      <c r="E18" t="s">
        <v>385</v>
      </c>
      <c r="F18" t="s">
        <v>385</v>
      </c>
      <c r="G18" t="s">
        <v>385</v>
      </c>
      <c r="H18" t="s">
        <v>385</v>
      </c>
      <c r="I18" t="s">
        <v>385</v>
      </c>
      <c r="J18" t="s">
        <v>385</v>
      </c>
      <c r="K18" t="s">
        <v>385</v>
      </c>
    </row>
    <row r="19" spans="1:11" x14ac:dyDescent="0.3">
      <c r="A19" t="s">
        <v>64</v>
      </c>
      <c r="B19" t="s">
        <v>386</v>
      </c>
      <c r="C19" t="s">
        <v>395</v>
      </c>
      <c r="D19" t="s">
        <v>387</v>
      </c>
      <c r="E19" t="s">
        <v>388</v>
      </c>
      <c r="F19" t="s">
        <v>389</v>
      </c>
      <c r="G19" t="s">
        <v>390</v>
      </c>
      <c r="H19" t="s">
        <v>391</v>
      </c>
      <c r="I19" t="s">
        <v>392</v>
      </c>
      <c r="J19" t="s">
        <v>393</v>
      </c>
      <c r="K19" t="s">
        <v>394</v>
      </c>
    </row>
    <row r="20" spans="1:11" x14ac:dyDescent="0.3">
      <c r="A20">
        <v>1</v>
      </c>
      <c r="B20" s="5">
        <f>+B4*VLOOKUP($A20,$N$4:$O$15,2)</f>
        <v>1.581</v>
      </c>
      <c r="C20" s="5">
        <f t="shared" ref="C20:K20" si="0">+C4*VLOOKUP($A20,$N$4:$O$15,2)</f>
        <v>1.5255905511811025</v>
      </c>
      <c r="D20" s="5">
        <f t="shared" si="0"/>
        <v>1.5744094488188978</v>
      </c>
      <c r="E20" s="5">
        <f t="shared" si="0"/>
        <v>1.6964566929133857</v>
      </c>
      <c r="F20" s="5">
        <f t="shared" si="0"/>
        <v>1.562204724409449</v>
      </c>
      <c r="G20" s="5">
        <f t="shared" si="0"/>
        <v>1.5011811023622048</v>
      </c>
      <c r="H20" s="5">
        <f t="shared" si="0"/>
        <v>1.3425196850393704</v>
      </c>
      <c r="I20" s="5">
        <f t="shared" si="0"/>
        <v>1.4889763779527558</v>
      </c>
      <c r="J20" s="5">
        <f t="shared" si="0"/>
        <v>1.4523622047244096</v>
      </c>
      <c r="K20" s="5">
        <f t="shared" si="0"/>
        <v>1.3913385826771654</v>
      </c>
    </row>
    <row r="21" spans="1:11" x14ac:dyDescent="0.3">
      <c r="A21">
        <v>2</v>
      </c>
      <c r="B21" s="5">
        <f t="shared" ref="B21:K31" si="1">+B5*VLOOKUP($A21,$N$4:$O$15,2)</f>
        <v>1.9600000000000002</v>
      </c>
      <c r="C21" s="5">
        <f t="shared" si="1"/>
        <v>2.0173228346456695</v>
      </c>
      <c r="D21" s="5">
        <f t="shared" si="1"/>
        <v>2.0173228346456695</v>
      </c>
      <c r="E21" s="5">
        <f t="shared" si="1"/>
        <v>2.1496062992125986</v>
      </c>
      <c r="F21" s="5">
        <f t="shared" si="1"/>
        <v>2.0503937007874016</v>
      </c>
      <c r="G21" s="5">
        <f t="shared" si="1"/>
        <v>1.9622047244094489</v>
      </c>
      <c r="H21" s="5">
        <f t="shared" si="1"/>
        <v>1.7637795275590555</v>
      </c>
      <c r="I21" s="5">
        <f t="shared" si="1"/>
        <v>1.9401574803149606</v>
      </c>
      <c r="J21" s="5">
        <f t="shared" si="1"/>
        <v>1.8850393700787402</v>
      </c>
      <c r="K21" s="5">
        <f t="shared" si="1"/>
        <v>1.7748031496062995</v>
      </c>
    </row>
    <row r="22" spans="1:11" x14ac:dyDescent="0.3">
      <c r="A22">
        <v>3</v>
      </c>
      <c r="B22" s="5">
        <f t="shared" si="1"/>
        <v>3.2549999999999999</v>
      </c>
      <c r="C22" s="5">
        <f t="shared" si="1"/>
        <v>3.4905511811023624</v>
      </c>
      <c r="D22" s="5">
        <f t="shared" si="1"/>
        <v>3.4661417322834644</v>
      </c>
      <c r="E22" s="5">
        <f t="shared" si="1"/>
        <v>3.6248031496062993</v>
      </c>
      <c r="F22" s="5">
        <f t="shared" si="1"/>
        <v>3.5027559055118114</v>
      </c>
      <c r="G22" s="5">
        <f t="shared" si="1"/>
        <v>3.4051181102362205</v>
      </c>
      <c r="H22" s="5">
        <f t="shared" si="1"/>
        <v>3.0877952755905511</v>
      </c>
      <c r="I22" s="5">
        <f t="shared" si="1"/>
        <v>3.2952755905511819</v>
      </c>
      <c r="J22" s="5">
        <f t="shared" si="1"/>
        <v>3.1610236220472441</v>
      </c>
      <c r="K22" s="5">
        <f t="shared" si="1"/>
        <v>3.0633858267716536</v>
      </c>
    </row>
    <row r="23" spans="1:11" x14ac:dyDescent="0.3">
      <c r="A23">
        <v>4</v>
      </c>
      <c r="B23" s="5">
        <f t="shared" si="1"/>
        <v>4.59</v>
      </c>
      <c r="C23" s="5">
        <f t="shared" si="1"/>
        <v>5.0551181102362204</v>
      </c>
      <c r="D23" s="5">
        <f t="shared" si="1"/>
        <v>4.877952755905512</v>
      </c>
      <c r="E23" s="5">
        <f t="shared" si="1"/>
        <v>4.9724409448818898</v>
      </c>
      <c r="F23" s="5">
        <f t="shared" si="1"/>
        <v>4.9370078740157481</v>
      </c>
      <c r="G23" s="5">
        <f t="shared" si="1"/>
        <v>4.8661417322834648</v>
      </c>
      <c r="H23" s="5">
        <f t="shared" si="1"/>
        <v>4.4763779527559056</v>
      </c>
      <c r="I23" s="5">
        <f t="shared" si="1"/>
        <v>4.7007874015748037</v>
      </c>
      <c r="J23" s="5">
        <f t="shared" si="1"/>
        <v>4.346456692913387</v>
      </c>
      <c r="K23" s="5">
        <f t="shared" si="1"/>
        <v>4.4173228346456694</v>
      </c>
    </row>
    <row r="24" spans="1:11" x14ac:dyDescent="0.3">
      <c r="A24">
        <v>5</v>
      </c>
      <c r="B24" s="5">
        <f t="shared" si="1"/>
        <v>5.7969999999999997</v>
      </c>
      <c r="C24" s="5">
        <f t="shared" si="1"/>
        <v>6.4318897637795267</v>
      </c>
      <c r="D24" s="5">
        <f t="shared" si="1"/>
        <v>6.2976377952755911</v>
      </c>
      <c r="E24" s="5">
        <f t="shared" si="1"/>
        <v>6.2976377952755911</v>
      </c>
      <c r="F24" s="5">
        <f t="shared" si="1"/>
        <v>6.2122047244094487</v>
      </c>
      <c r="G24" s="5">
        <f t="shared" si="1"/>
        <v>6.1755905511811022</v>
      </c>
      <c r="H24" s="5">
        <f t="shared" si="1"/>
        <v>5.8216535433070868</v>
      </c>
      <c r="I24" s="5">
        <f t="shared" si="1"/>
        <v>6.0169291338582678</v>
      </c>
      <c r="J24" s="5">
        <f t="shared" si="1"/>
        <v>5.333464566929135</v>
      </c>
      <c r="K24" s="5">
        <f t="shared" si="1"/>
        <v>5.7362204724409454</v>
      </c>
    </row>
    <row r="25" spans="1:11" x14ac:dyDescent="0.3">
      <c r="A25">
        <v>6</v>
      </c>
      <c r="B25" s="5">
        <f t="shared" si="1"/>
        <v>6.2399999999999993</v>
      </c>
      <c r="C25" s="5">
        <f t="shared" si="1"/>
        <v>7.0748031496063</v>
      </c>
      <c r="D25" s="5">
        <f t="shared" si="1"/>
        <v>6.6968503937007879</v>
      </c>
      <c r="E25" s="5">
        <f t="shared" si="1"/>
        <v>6.6141732283464565</v>
      </c>
      <c r="F25" s="5">
        <f t="shared" si="1"/>
        <v>6.6968503937007879</v>
      </c>
      <c r="G25" s="5">
        <f t="shared" si="1"/>
        <v>6.7440944881889759</v>
      </c>
      <c r="H25" s="5">
        <f t="shared" si="1"/>
        <v>6.4842519685039379</v>
      </c>
      <c r="I25" s="5">
        <f t="shared" si="1"/>
        <v>6.6496062992125982</v>
      </c>
      <c r="J25" s="5">
        <f t="shared" si="1"/>
        <v>5.5748031496062991</v>
      </c>
      <c r="K25" s="5">
        <f t="shared" si="1"/>
        <v>6.3070866141732287</v>
      </c>
    </row>
    <row r="26" spans="1:11" x14ac:dyDescent="0.3">
      <c r="A26">
        <v>7</v>
      </c>
      <c r="B26" s="5">
        <f t="shared" si="1"/>
        <v>6.4790000000000001</v>
      </c>
      <c r="C26" s="5">
        <f t="shared" si="1"/>
        <v>7.359448818897639</v>
      </c>
      <c r="D26" s="5">
        <f t="shared" si="1"/>
        <v>6.8346456692913389</v>
      </c>
      <c r="E26" s="5">
        <f t="shared" si="1"/>
        <v>6.8590551181102368</v>
      </c>
      <c r="F26" s="5">
        <f t="shared" si="1"/>
        <v>6.9444881889763792</v>
      </c>
      <c r="G26" s="5">
        <f t="shared" si="1"/>
        <v>7.0055118110236227</v>
      </c>
      <c r="H26" s="5">
        <f t="shared" si="1"/>
        <v>6.8346456692913389</v>
      </c>
      <c r="I26" s="5">
        <f t="shared" si="1"/>
        <v>6.9322834645669289</v>
      </c>
      <c r="J26" s="5">
        <f t="shared" si="1"/>
        <v>5.6751968503937018</v>
      </c>
      <c r="K26" s="5">
        <f t="shared" si="1"/>
        <v>6.5417322834645679</v>
      </c>
    </row>
    <row r="27" spans="1:11" x14ac:dyDescent="0.3">
      <c r="A27">
        <v>8</v>
      </c>
      <c r="B27" s="5">
        <f t="shared" si="1"/>
        <v>5.7350000000000003</v>
      </c>
      <c r="C27" s="5">
        <f t="shared" si="1"/>
        <v>6.566141732283465</v>
      </c>
      <c r="D27" s="5">
        <f t="shared" si="1"/>
        <v>6.1145669291338578</v>
      </c>
      <c r="E27" s="5">
        <f t="shared" si="1"/>
        <v>6.1755905511811022</v>
      </c>
      <c r="F27" s="5">
        <f t="shared" si="1"/>
        <v>6.2122047244094487</v>
      </c>
      <c r="G27" s="5">
        <f t="shared" si="1"/>
        <v>6.2244094488188981</v>
      </c>
      <c r="H27" s="5">
        <f t="shared" si="1"/>
        <v>6.1267716535433072</v>
      </c>
      <c r="I27" s="5">
        <f t="shared" si="1"/>
        <v>6.1755905511811022</v>
      </c>
      <c r="J27" s="5">
        <f t="shared" si="1"/>
        <v>5.0893700787401581</v>
      </c>
      <c r="K27" s="5">
        <f t="shared" si="1"/>
        <v>5.9314960629921272</v>
      </c>
    </row>
    <row r="28" spans="1:11" x14ac:dyDescent="0.3">
      <c r="A28">
        <v>9</v>
      </c>
      <c r="B28" s="5">
        <f t="shared" si="1"/>
        <v>4.38</v>
      </c>
      <c r="C28" s="5">
        <f t="shared" si="1"/>
        <v>4.9488188976377963</v>
      </c>
      <c r="D28" s="5">
        <f t="shared" si="1"/>
        <v>4.7125984251968509</v>
      </c>
      <c r="E28" s="5">
        <f t="shared" si="1"/>
        <v>4.8661417322834648</v>
      </c>
      <c r="F28" s="5">
        <f t="shared" si="1"/>
        <v>4.7598425196850407</v>
      </c>
      <c r="G28" s="5">
        <f t="shared" si="1"/>
        <v>4.771653543307087</v>
      </c>
      <c r="H28" s="5">
        <f t="shared" si="1"/>
        <v>4.5826771653543314</v>
      </c>
      <c r="I28" s="5">
        <f t="shared" si="1"/>
        <v>4.7125984251968509</v>
      </c>
      <c r="J28" s="5">
        <f t="shared" si="1"/>
        <v>4.015748031496063</v>
      </c>
      <c r="K28" s="5">
        <f t="shared" si="1"/>
        <v>4.5118110236220472</v>
      </c>
    </row>
    <row r="29" spans="1:11" x14ac:dyDescent="0.3">
      <c r="A29">
        <v>10</v>
      </c>
      <c r="B29" s="5">
        <f t="shared" si="1"/>
        <v>3.2549999999999999</v>
      </c>
      <c r="C29" s="5">
        <f t="shared" si="1"/>
        <v>3.5759842519685043</v>
      </c>
      <c r="D29" s="5">
        <f t="shared" si="1"/>
        <v>3.4661417322834644</v>
      </c>
      <c r="E29" s="5">
        <f t="shared" si="1"/>
        <v>3.6370078740157483</v>
      </c>
      <c r="F29" s="5">
        <f t="shared" si="1"/>
        <v>3.4417322834645669</v>
      </c>
      <c r="G29" s="5">
        <f t="shared" si="1"/>
        <v>3.4051181102362205</v>
      </c>
      <c r="H29" s="5">
        <f t="shared" si="1"/>
        <v>3.246456692913386</v>
      </c>
      <c r="I29" s="5">
        <f t="shared" si="1"/>
        <v>3.4173228346456694</v>
      </c>
      <c r="J29" s="5">
        <f t="shared" si="1"/>
        <v>3.0633858267716536</v>
      </c>
      <c r="K29" s="5">
        <f t="shared" si="1"/>
        <v>3.270866141732284</v>
      </c>
    </row>
    <row r="30" spans="1:11" x14ac:dyDescent="0.3">
      <c r="A30">
        <v>11</v>
      </c>
      <c r="B30" s="5">
        <f t="shared" si="1"/>
        <v>2.0700000000000003</v>
      </c>
      <c r="C30" s="5">
        <f t="shared" si="1"/>
        <v>2.1968503937007875</v>
      </c>
      <c r="D30" s="5">
        <f t="shared" si="1"/>
        <v>2.1968503937007875</v>
      </c>
      <c r="E30" s="5">
        <f t="shared" si="1"/>
        <v>2.3622047244094486</v>
      </c>
      <c r="F30" s="5">
        <f t="shared" si="1"/>
        <v>2.1496062992125986</v>
      </c>
      <c r="G30" s="5">
        <f t="shared" si="1"/>
        <v>2.0905511811023625</v>
      </c>
      <c r="H30" s="5">
        <f t="shared" si="1"/>
        <v>1.9488188976377951</v>
      </c>
      <c r="I30" s="5">
        <f t="shared" si="1"/>
        <v>2.1141732283464569</v>
      </c>
      <c r="J30" s="5">
        <f t="shared" si="1"/>
        <v>1.9606299212598426</v>
      </c>
      <c r="K30" s="5">
        <f t="shared" si="1"/>
        <v>1.9724409448818898</v>
      </c>
    </row>
    <row r="31" spans="1:11" x14ac:dyDescent="0.3">
      <c r="A31">
        <v>12</v>
      </c>
      <c r="B31" s="5">
        <f t="shared" si="1"/>
        <v>1.55</v>
      </c>
      <c r="C31" s="5">
        <f t="shared" si="1"/>
        <v>1.5255905511811025</v>
      </c>
      <c r="D31" s="5">
        <f t="shared" si="1"/>
        <v>1.55</v>
      </c>
      <c r="E31" s="5">
        <f t="shared" si="1"/>
        <v>1.684251968503937</v>
      </c>
      <c r="F31" s="5">
        <f t="shared" si="1"/>
        <v>1.5133858267716536</v>
      </c>
      <c r="G31" s="5">
        <f t="shared" si="1"/>
        <v>1.4889763779527558</v>
      </c>
      <c r="H31" s="5">
        <f t="shared" si="1"/>
        <v>1.3181102362204726</v>
      </c>
      <c r="I31" s="5">
        <f t="shared" si="1"/>
        <v>1.4523622047244096</v>
      </c>
      <c r="J31" s="5">
        <f t="shared" si="1"/>
        <v>1.3913385826771654</v>
      </c>
      <c r="K31" s="5">
        <f t="shared" si="1"/>
        <v>1.3547244094488189</v>
      </c>
    </row>
    <row r="32" spans="1:11" x14ac:dyDescent="0.3">
      <c r="A32" t="s">
        <v>720</v>
      </c>
      <c r="B32" s="5"/>
      <c r="C32" s="5"/>
      <c r="D32" s="5"/>
      <c r="E32" s="5"/>
      <c r="F32" s="5"/>
      <c r="G32" s="5"/>
      <c r="H32" s="5"/>
      <c r="I32" s="5"/>
      <c r="J32" s="5"/>
      <c r="K32" s="5"/>
    </row>
    <row r="33" spans="1:11" x14ac:dyDescent="0.3">
      <c r="A33" t="s">
        <v>397</v>
      </c>
      <c r="B33" s="5">
        <v>1</v>
      </c>
      <c r="C33" s="5">
        <v>2</v>
      </c>
      <c r="D33" s="5">
        <v>3</v>
      </c>
      <c r="E33" s="5">
        <v>4</v>
      </c>
      <c r="F33" s="5">
        <v>5</v>
      </c>
      <c r="G33" s="5">
        <v>6</v>
      </c>
      <c r="H33" s="5">
        <v>7</v>
      </c>
      <c r="I33" s="5">
        <v>8</v>
      </c>
      <c r="J33" s="5">
        <v>9</v>
      </c>
      <c r="K33" s="5">
        <v>10</v>
      </c>
    </row>
    <row r="34" spans="1:11" x14ac:dyDescent="0.3">
      <c r="B34" s="5" t="s">
        <v>385</v>
      </c>
      <c r="C34" s="5" t="s">
        <v>385</v>
      </c>
      <c r="D34" s="5" t="s">
        <v>385</v>
      </c>
      <c r="E34" s="5" t="s">
        <v>385</v>
      </c>
      <c r="F34" s="5" t="s">
        <v>385</v>
      </c>
      <c r="G34" s="5" t="s">
        <v>385</v>
      </c>
      <c r="H34" s="5" t="s">
        <v>385</v>
      </c>
      <c r="I34" s="5" t="s">
        <v>385</v>
      </c>
      <c r="J34" s="5" t="s">
        <v>385</v>
      </c>
      <c r="K34" s="5" t="s">
        <v>385</v>
      </c>
    </row>
    <row r="35" spans="1:11" x14ac:dyDescent="0.3">
      <c r="A35" t="s">
        <v>64</v>
      </c>
      <c r="B35" s="5" t="s">
        <v>386</v>
      </c>
      <c r="C35" s="5" t="s">
        <v>395</v>
      </c>
      <c r="D35" s="5" t="s">
        <v>387</v>
      </c>
      <c r="E35" s="5" t="s">
        <v>388</v>
      </c>
      <c r="F35" s="5" t="s">
        <v>389</v>
      </c>
      <c r="G35" s="5" t="s">
        <v>390</v>
      </c>
      <c r="H35" s="5" t="s">
        <v>391</v>
      </c>
      <c r="I35" s="5" t="s">
        <v>392</v>
      </c>
      <c r="J35" s="5" t="s">
        <v>393</v>
      </c>
      <c r="K35" s="5" t="s">
        <v>394</v>
      </c>
    </row>
    <row r="36" spans="1:11" x14ac:dyDescent="0.3">
      <c r="A36">
        <v>1</v>
      </c>
      <c r="B36" s="5">
        <v>1.581</v>
      </c>
      <c r="C36" s="5">
        <v>1.5255905511811025</v>
      </c>
      <c r="D36" s="5">
        <v>1.5744094488188978</v>
      </c>
      <c r="E36" s="5">
        <v>1.6964566929133857</v>
      </c>
      <c r="F36" s="5">
        <v>1.562204724409449</v>
      </c>
      <c r="G36" s="5">
        <v>1.5011811023622048</v>
      </c>
      <c r="H36" s="5">
        <v>1.3425196850393704</v>
      </c>
      <c r="I36" s="5">
        <v>1.4889763779527558</v>
      </c>
      <c r="J36" s="5">
        <v>1.4523622047244096</v>
      </c>
      <c r="K36" s="5">
        <v>1.3913385826771654</v>
      </c>
    </row>
    <row r="37" spans="1:11" x14ac:dyDescent="0.3">
      <c r="A37">
        <v>2</v>
      </c>
      <c r="B37" s="5">
        <v>1.9600000000000002</v>
      </c>
      <c r="C37" s="5">
        <v>2.0173228346456695</v>
      </c>
      <c r="D37" s="5">
        <v>2.0173228346456695</v>
      </c>
      <c r="E37" s="5">
        <v>2.1496062992125986</v>
      </c>
      <c r="F37" s="5">
        <v>2.0503937007874016</v>
      </c>
      <c r="G37" s="5">
        <v>1.9622047244094489</v>
      </c>
      <c r="H37" s="5">
        <v>1.7637795275590555</v>
      </c>
      <c r="I37" s="5">
        <v>1.9401574803149606</v>
      </c>
      <c r="J37" s="5">
        <v>1.8850393700787402</v>
      </c>
      <c r="K37" s="5">
        <v>1.7748031496062995</v>
      </c>
    </row>
    <row r="38" spans="1:11" x14ac:dyDescent="0.3">
      <c r="A38">
        <v>3</v>
      </c>
      <c r="B38" s="5">
        <v>3.2549999999999999</v>
      </c>
      <c r="C38" s="5">
        <v>3.4905511811023624</v>
      </c>
      <c r="D38" s="5">
        <v>3.4661417322834644</v>
      </c>
      <c r="E38" s="5">
        <v>3.6248031496062993</v>
      </c>
      <c r="F38" s="5">
        <v>3.5027559055118114</v>
      </c>
      <c r="G38" s="5">
        <v>3.4051181102362205</v>
      </c>
      <c r="H38" s="5">
        <v>3.0877952755905511</v>
      </c>
      <c r="I38" s="5">
        <v>3.2952755905511819</v>
      </c>
      <c r="J38" s="5">
        <v>3.1610236220472441</v>
      </c>
      <c r="K38" s="5">
        <v>3.0633858267716536</v>
      </c>
    </row>
    <row r="39" spans="1:11" x14ac:dyDescent="0.3">
      <c r="A39">
        <v>4</v>
      </c>
      <c r="B39" s="5">
        <v>4.59</v>
      </c>
      <c r="C39" s="5">
        <v>5.0551181102362204</v>
      </c>
      <c r="D39" s="5">
        <v>4.877952755905512</v>
      </c>
      <c r="E39" s="5">
        <v>4.9724409448818898</v>
      </c>
      <c r="F39" s="5">
        <v>4.9370078740157481</v>
      </c>
      <c r="G39" s="5">
        <v>4.8661417322834648</v>
      </c>
      <c r="H39" s="5">
        <v>4.4763779527559056</v>
      </c>
      <c r="I39" s="5">
        <v>4.7007874015748037</v>
      </c>
      <c r="J39" s="5">
        <v>4.346456692913387</v>
      </c>
      <c r="K39" s="5">
        <v>4.4173228346456694</v>
      </c>
    </row>
    <row r="40" spans="1:11" x14ac:dyDescent="0.3">
      <c r="A40">
        <v>5</v>
      </c>
      <c r="B40" s="5">
        <v>5.7969999999999997</v>
      </c>
      <c r="C40" s="5">
        <v>6.4318897637795267</v>
      </c>
      <c r="D40" s="5">
        <v>6.2976377952755911</v>
      </c>
      <c r="E40" s="5">
        <v>6.2976377952755911</v>
      </c>
      <c r="F40" s="5">
        <v>6.2122047244094487</v>
      </c>
      <c r="G40" s="5">
        <v>6.1755905511811022</v>
      </c>
      <c r="H40" s="5">
        <v>5.8216535433070868</v>
      </c>
      <c r="I40" s="5">
        <v>6.0169291338582678</v>
      </c>
      <c r="J40" s="5">
        <v>5.333464566929135</v>
      </c>
      <c r="K40" s="5">
        <v>5.7362204724409454</v>
      </c>
    </row>
    <row r="41" spans="1:11" x14ac:dyDescent="0.3">
      <c r="A41">
        <v>6</v>
      </c>
      <c r="B41" s="5">
        <v>6.2399999999999993</v>
      </c>
      <c r="C41" s="5">
        <v>7.0748031496063</v>
      </c>
      <c r="D41" s="5">
        <v>6.6968503937007879</v>
      </c>
      <c r="E41" s="5">
        <v>6.6141732283464565</v>
      </c>
      <c r="F41" s="5">
        <v>6.6968503937007879</v>
      </c>
      <c r="G41" s="5">
        <v>6.7440944881889759</v>
      </c>
      <c r="H41" s="5">
        <v>6.4842519685039379</v>
      </c>
      <c r="I41" s="5">
        <v>6.6496062992125982</v>
      </c>
      <c r="J41" s="5">
        <v>5.5748031496062991</v>
      </c>
      <c r="K41" s="5">
        <v>6.3070866141732287</v>
      </c>
    </row>
    <row r="42" spans="1:11" x14ac:dyDescent="0.3">
      <c r="A42">
        <v>7</v>
      </c>
      <c r="B42" s="5">
        <v>6.4790000000000001</v>
      </c>
      <c r="C42" s="5">
        <v>7.359448818897639</v>
      </c>
      <c r="D42" s="5">
        <v>6.8346456692913389</v>
      </c>
      <c r="E42" s="5">
        <v>6.8590551181102368</v>
      </c>
      <c r="F42" s="5">
        <v>6.9444881889763792</v>
      </c>
      <c r="G42" s="5">
        <v>7.0055118110236227</v>
      </c>
      <c r="H42" s="5">
        <v>6.8346456692913389</v>
      </c>
      <c r="I42" s="5">
        <v>6.9322834645669289</v>
      </c>
      <c r="J42" s="5">
        <v>5.6751968503937018</v>
      </c>
      <c r="K42" s="5">
        <v>6.5417322834645679</v>
      </c>
    </row>
    <row r="43" spans="1:11" x14ac:dyDescent="0.3">
      <c r="A43">
        <v>8</v>
      </c>
      <c r="B43" s="5">
        <v>5.7350000000000003</v>
      </c>
      <c r="C43" s="5">
        <v>6.566141732283465</v>
      </c>
      <c r="D43" s="5">
        <v>6.1145669291338578</v>
      </c>
      <c r="E43" s="5">
        <v>6.1755905511811022</v>
      </c>
      <c r="F43" s="5">
        <v>6.2122047244094487</v>
      </c>
      <c r="G43" s="5">
        <v>6.2244094488188981</v>
      </c>
      <c r="H43" s="5">
        <v>6.1267716535433072</v>
      </c>
      <c r="I43" s="5">
        <v>6.1755905511811022</v>
      </c>
      <c r="J43" s="5">
        <v>5.0893700787401581</v>
      </c>
      <c r="K43" s="5">
        <v>5.9314960629921272</v>
      </c>
    </row>
    <row r="44" spans="1:11" x14ac:dyDescent="0.3">
      <c r="A44">
        <v>9</v>
      </c>
      <c r="B44" s="5">
        <v>4.38</v>
      </c>
      <c r="C44" s="5">
        <v>4.9488188976377963</v>
      </c>
      <c r="D44" s="5">
        <v>4.7125984251968509</v>
      </c>
      <c r="E44" s="5">
        <v>4.8661417322834648</v>
      </c>
      <c r="F44" s="5">
        <v>4.7598425196850407</v>
      </c>
      <c r="G44" s="5">
        <v>4.771653543307087</v>
      </c>
      <c r="H44" s="5">
        <v>4.5826771653543314</v>
      </c>
      <c r="I44" s="5">
        <v>4.7125984251968509</v>
      </c>
      <c r="J44" s="5">
        <v>4.015748031496063</v>
      </c>
      <c r="K44" s="5">
        <v>4.5118110236220472</v>
      </c>
    </row>
    <row r="45" spans="1:11" x14ac:dyDescent="0.3">
      <c r="A45">
        <v>10</v>
      </c>
      <c r="B45" s="5">
        <v>3.2549999999999999</v>
      </c>
      <c r="C45" s="5">
        <v>3.5759842519685043</v>
      </c>
      <c r="D45" s="5">
        <v>3.4661417322834644</v>
      </c>
      <c r="E45" s="5">
        <v>3.6370078740157483</v>
      </c>
      <c r="F45" s="5">
        <v>3.4417322834645669</v>
      </c>
      <c r="G45" s="5">
        <v>3.4051181102362205</v>
      </c>
      <c r="H45" s="5">
        <v>3.246456692913386</v>
      </c>
      <c r="I45" s="5">
        <v>3.4173228346456694</v>
      </c>
      <c r="J45" s="5">
        <v>3.0633858267716536</v>
      </c>
      <c r="K45" s="5">
        <v>3.270866141732284</v>
      </c>
    </row>
    <row r="46" spans="1:11" x14ac:dyDescent="0.3">
      <c r="A46">
        <v>11</v>
      </c>
      <c r="B46" s="5">
        <v>2.0700000000000003</v>
      </c>
      <c r="C46" s="5">
        <v>2.1968503937007875</v>
      </c>
      <c r="D46" s="5">
        <v>2.1968503937007875</v>
      </c>
      <c r="E46" s="5">
        <v>2.3622047244094486</v>
      </c>
      <c r="F46" s="5">
        <v>2.1496062992125986</v>
      </c>
      <c r="G46" s="5">
        <v>2.0905511811023625</v>
      </c>
      <c r="H46" s="5">
        <v>1.9488188976377951</v>
      </c>
      <c r="I46" s="5">
        <v>2.1141732283464569</v>
      </c>
      <c r="J46" s="5">
        <v>1.9606299212598426</v>
      </c>
      <c r="K46" s="5">
        <v>1.9724409448818898</v>
      </c>
    </row>
    <row r="47" spans="1:11" x14ac:dyDescent="0.3">
      <c r="A47">
        <v>12</v>
      </c>
      <c r="B47" s="5">
        <v>1.55</v>
      </c>
      <c r="C47" s="5">
        <v>1.5255905511811025</v>
      </c>
      <c r="D47" s="5">
        <v>1.55</v>
      </c>
      <c r="E47" s="5">
        <v>1.684251968503937</v>
      </c>
      <c r="F47" s="5">
        <v>1.5133858267716536</v>
      </c>
      <c r="G47" s="5">
        <v>1.4889763779527558</v>
      </c>
      <c r="H47" s="5">
        <v>1.3181102362204726</v>
      </c>
      <c r="I47" s="5">
        <v>1.4523622047244096</v>
      </c>
      <c r="J47" s="5">
        <v>1.3913385826771654</v>
      </c>
      <c r="K47" s="5">
        <v>1.3547244094488189</v>
      </c>
    </row>
    <row r="48" spans="1:11" x14ac:dyDescent="0.3">
      <c r="B48" s="5"/>
      <c r="C48" s="5"/>
      <c r="D48" s="5"/>
      <c r="E48" s="5"/>
      <c r="F48" s="5"/>
      <c r="G48" s="5"/>
      <c r="H48" s="5"/>
      <c r="I48" s="5"/>
      <c r="J48" s="5"/>
      <c r="K48" s="5"/>
    </row>
    <row r="49" spans="1:13" x14ac:dyDescent="0.3">
      <c r="A49" t="s">
        <v>719</v>
      </c>
      <c r="B49" s="5"/>
      <c r="C49" s="5"/>
      <c r="D49" s="5"/>
      <c r="E49" s="5"/>
      <c r="F49" s="5"/>
      <c r="G49" s="5"/>
      <c r="H49" s="5"/>
      <c r="I49" s="5"/>
      <c r="J49" s="5"/>
      <c r="K49" s="5"/>
    </row>
    <row r="50" spans="1:13" x14ac:dyDescent="0.3">
      <c r="A50" t="s">
        <v>397</v>
      </c>
    </row>
    <row r="51" spans="1:13" x14ac:dyDescent="0.3">
      <c r="A51" t="s">
        <v>64</v>
      </c>
      <c r="B51">
        <v>1</v>
      </c>
      <c r="C51">
        <v>2</v>
      </c>
      <c r="D51">
        <v>3</v>
      </c>
      <c r="E51">
        <v>4</v>
      </c>
      <c r="F51">
        <v>5</v>
      </c>
      <c r="G51">
        <v>6</v>
      </c>
      <c r="H51">
        <v>7</v>
      </c>
      <c r="I51">
        <v>8</v>
      </c>
      <c r="J51">
        <v>9</v>
      </c>
      <c r="K51">
        <v>10</v>
      </c>
      <c r="L51">
        <v>11</v>
      </c>
      <c r="M51">
        <v>12</v>
      </c>
    </row>
    <row r="52" spans="1:13" x14ac:dyDescent="0.3">
      <c r="A52" s="5" t="s">
        <v>386</v>
      </c>
      <c r="B52" s="5">
        <v>1.581</v>
      </c>
      <c r="C52" s="5">
        <v>1.9600000000000002</v>
      </c>
      <c r="D52" s="5">
        <v>3.2549999999999999</v>
      </c>
      <c r="E52" s="5">
        <v>4.59</v>
      </c>
      <c r="F52" s="5">
        <v>5.7969999999999997</v>
      </c>
      <c r="G52" s="5">
        <v>6.2399999999999993</v>
      </c>
      <c r="H52" s="5">
        <v>6.4790000000000001</v>
      </c>
      <c r="I52" s="5">
        <v>5.7350000000000003</v>
      </c>
      <c r="J52" s="5">
        <v>4.38</v>
      </c>
      <c r="K52" s="5">
        <v>3.2549999999999999</v>
      </c>
      <c r="L52" s="5">
        <v>2.0700000000000003</v>
      </c>
      <c r="M52" s="5">
        <v>1.55</v>
      </c>
    </row>
    <row r="53" spans="1:13" x14ac:dyDescent="0.3">
      <c r="A53" s="5" t="s">
        <v>395</v>
      </c>
      <c r="B53" s="5">
        <v>1.5255905511811025</v>
      </c>
      <c r="C53" s="5">
        <v>2.0173228346456695</v>
      </c>
      <c r="D53" s="5">
        <v>3.4905511811023624</v>
      </c>
      <c r="E53" s="5">
        <v>5.0551181102362204</v>
      </c>
      <c r="F53" s="5">
        <v>6.4318897637795267</v>
      </c>
      <c r="G53" s="5">
        <v>7.0748031496063</v>
      </c>
      <c r="H53" s="5">
        <v>7.359448818897639</v>
      </c>
      <c r="I53" s="5">
        <v>6.566141732283465</v>
      </c>
      <c r="J53" s="5">
        <v>4.9488188976377963</v>
      </c>
      <c r="K53" s="5">
        <v>3.5759842519685043</v>
      </c>
      <c r="L53" s="5">
        <v>2.1968503937007875</v>
      </c>
      <c r="M53" s="5">
        <v>1.5255905511811025</v>
      </c>
    </row>
    <row r="54" spans="1:13" x14ac:dyDescent="0.3">
      <c r="A54" s="5" t="s">
        <v>387</v>
      </c>
      <c r="B54" s="5">
        <v>1.5744094488188978</v>
      </c>
      <c r="C54" s="5">
        <v>2.0173228346456695</v>
      </c>
      <c r="D54" s="5">
        <v>3.4661417322834644</v>
      </c>
      <c r="E54" s="5">
        <v>4.877952755905512</v>
      </c>
      <c r="F54" s="5">
        <v>6.2976377952755911</v>
      </c>
      <c r="G54" s="5">
        <v>6.6968503937007879</v>
      </c>
      <c r="H54" s="5">
        <v>6.8346456692913389</v>
      </c>
      <c r="I54" s="5">
        <v>6.1145669291338578</v>
      </c>
      <c r="J54" s="5">
        <v>4.7125984251968509</v>
      </c>
      <c r="K54" s="5">
        <v>3.4661417322834644</v>
      </c>
      <c r="L54" s="5">
        <v>2.1968503937007875</v>
      </c>
      <c r="M54" s="5">
        <v>1.55</v>
      </c>
    </row>
    <row r="55" spans="1:13" x14ac:dyDescent="0.3">
      <c r="A55" s="5" t="s">
        <v>388</v>
      </c>
      <c r="B55" s="5">
        <v>1.6964566929133857</v>
      </c>
      <c r="C55" s="5">
        <v>2.1496062992125986</v>
      </c>
      <c r="D55" s="5">
        <v>3.6248031496062993</v>
      </c>
      <c r="E55" s="5">
        <v>4.9724409448818898</v>
      </c>
      <c r="F55" s="5">
        <v>6.2976377952755911</v>
      </c>
      <c r="G55" s="5">
        <v>6.6141732283464565</v>
      </c>
      <c r="H55" s="5">
        <v>6.8590551181102368</v>
      </c>
      <c r="I55" s="5">
        <v>6.1755905511811022</v>
      </c>
      <c r="J55" s="5">
        <v>4.8661417322834648</v>
      </c>
      <c r="K55" s="5">
        <v>3.6370078740157483</v>
      </c>
      <c r="L55" s="5">
        <v>2.3622047244094486</v>
      </c>
      <c r="M55" s="5">
        <v>1.684251968503937</v>
      </c>
    </row>
    <row r="56" spans="1:13" x14ac:dyDescent="0.3">
      <c r="A56" s="5" t="s">
        <v>389</v>
      </c>
      <c r="B56" s="5">
        <v>1.562204724409449</v>
      </c>
      <c r="C56" s="5">
        <v>2.0503937007874016</v>
      </c>
      <c r="D56" s="5">
        <v>3.5027559055118114</v>
      </c>
      <c r="E56" s="5">
        <v>4.9370078740157481</v>
      </c>
      <c r="F56" s="5">
        <v>6.2122047244094487</v>
      </c>
      <c r="G56" s="5">
        <v>6.6968503937007879</v>
      </c>
      <c r="H56" s="5">
        <v>6.9444881889763792</v>
      </c>
      <c r="I56" s="5">
        <v>6.2122047244094487</v>
      </c>
      <c r="J56" s="5">
        <v>4.7598425196850407</v>
      </c>
      <c r="K56" s="5">
        <v>3.4417322834645669</v>
      </c>
      <c r="L56" s="5">
        <v>2.1496062992125986</v>
      </c>
      <c r="M56" s="5">
        <v>1.5133858267716536</v>
      </c>
    </row>
    <row r="57" spans="1:13" x14ac:dyDescent="0.3">
      <c r="A57" s="5" t="s">
        <v>390</v>
      </c>
      <c r="B57" s="5">
        <v>1.5011811023622048</v>
      </c>
      <c r="C57" s="5">
        <v>1.9622047244094489</v>
      </c>
      <c r="D57" s="5">
        <v>3.4051181102362205</v>
      </c>
      <c r="E57" s="5">
        <v>4.8661417322834648</v>
      </c>
      <c r="F57" s="5">
        <v>6.1755905511811022</v>
      </c>
      <c r="G57" s="5">
        <v>6.7440944881889759</v>
      </c>
      <c r="H57" s="5">
        <v>7.0055118110236227</v>
      </c>
      <c r="I57" s="5">
        <v>6.2244094488188981</v>
      </c>
      <c r="J57" s="5">
        <v>4.771653543307087</v>
      </c>
      <c r="K57" s="5">
        <v>3.4051181102362205</v>
      </c>
      <c r="L57" s="5">
        <v>2.0905511811023625</v>
      </c>
      <c r="M57" s="5">
        <v>1.4889763779527558</v>
      </c>
    </row>
    <row r="58" spans="1:13" x14ac:dyDescent="0.3">
      <c r="A58" s="5" t="s">
        <v>391</v>
      </c>
      <c r="B58" s="5">
        <v>1.3425196850393704</v>
      </c>
      <c r="C58" s="5">
        <v>1.7637795275590555</v>
      </c>
      <c r="D58" s="5">
        <v>3.0877952755905511</v>
      </c>
      <c r="E58" s="5">
        <v>4.4763779527559056</v>
      </c>
      <c r="F58" s="5">
        <v>5.8216535433070868</v>
      </c>
      <c r="G58" s="5">
        <v>6.4842519685039379</v>
      </c>
      <c r="H58" s="5">
        <v>6.8346456692913389</v>
      </c>
      <c r="I58" s="5">
        <v>6.1267716535433072</v>
      </c>
      <c r="J58" s="5">
        <v>4.5826771653543314</v>
      </c>
      <c r="K58" s="5">
        <v>3.246456692913386</v>
      </c>
      <c r="L58" s="5">
        <v>1.9488188976377951</v>
      </c>
      <c r="M58" s="5">
        <v>1.3181102362204726</v>
      </c>
    </row>
    <row r="59" spans="1:13" x14ac:dyDescent="0.3">
      <c r="A59" s="5" t="s">
        <v>392</v>
      </c>
      <c r="B59" s="5">
        <v>1.4889763779527558</v>
      </c>
      <c r="C59" s="5">
        <v>1.9401574803149606</v>
      </c>
      <c r="D59" s="5">
        <v>3.2952755905511819</v>
      </c>
      <c r="E59" s="5">
        <v>4.7007874015748037</v>
      </c>
      <c r="F59" s="5">
        <v>6.0169291338582678</v>
      </c>
      <c r="G59" s="5">
        <v>6.6496062992125982</v>
      </c>
      <c r="H59" s="5">
        <v>6.9322834645669289</v>
      </c>
      <c r="I59" s="5">
        <v>6.1755905511811022</v>
      </c>
      <c r="J59" s="5">
        <v>4.7125984251968509</v>
      </c>
      <c r="K59" s="5">
        <v>3.4173228346456694</v>
      </c>
      <c r="L59" s="5">
        <v>2.1141732283464569</v>
      </c>
      <c r="M59" s="5">
        <v>1.4523622047244096</v>
      </c>
    </row>
    <row r="60" spans="1:13" x14ac:dyDescent="0.3">
      <c r="A60" s="5" t="s">
        <v>393</v>
      </c>
      <c r="B60" s="5">
        <v>1.4523622047244096</v>
      </c>
      <c r="C60" s="5">
        <v>1.8850393700787402</v>
      </c>
      <c r="D60" s="5">
        <v>3.1610236220472441</v>
      </c>
      <c r="E60" s="5">
        <v>4.346456692913387</v>
      </c>
      <c r="F60" s="5">
        <v>5.333464566929135</v>
      </c>
      <c r="G60" s="5">
        <v>5.5748031496062991</v>
      </c>
      <c r="H60" s="5">
        <v>5.6751968503937018</v>
      </c>
      <c r="I60" s="5">
        <v>5.0893700787401581</v>
      </c>
      <c r="J60" s="5">
        <v>4.015748031496063</v>
      </c>
      <c r="K60" s="5">
        <v>3.0633858267716536</v>
      </c>
      <c r="L60" s="5">
        <v>1.9606299212598426</v>
      </c>
      <c r="M60" s="5">
        <v>1.3913385826771654</v>
      </c>
    </row>
    <row r="61" spans="1:13" x14ac:dyDescent="0.3">
      <c r="A61" s="5" t="s">
        <v>394</v>
      </c>
      <c r="B61" s="5">
        <v>1.3913385826771654</v>
      </c>
      <c r="C61" s="5">
        <v>1.7748031496062995</v>
      </c>
      <c r="D61" s="5">
        <v>3.0633858267716536</v>
      </c>
      <c r="E61" s="5">
        <v>4.4173228346456694</v>
      </c>
      <c r="F61" s="5">
        <v>5.7362204724409454</v>
      </c>
      <c r="G61" s="5">
        <v>6.3070866141732287</v>
      </c>
      <c r="H61" s="5">
        <v>6.5417322834645679</v>
      </c>
      <c r="I61" s="5">
        <v>5.9314960629921272</v>
      </c>
      <c r="J61" s="5">
        <v>4.5118110236220472</v>
      </c>
      <c r="K61" s="5">
        <v>3.270866141732284</v>
      </c>
      <c r="L61" s="5">
        <v>1.9724409448818898</v>
      </c>
      <c r="M61" s="5">
        <v>1.3547244094488189</v>
      </c>
    </row>
    <row r="62" spans="1:13" x14ac:dyDescent="0.3">
      <c r="B62" s="5"/>
      <c r="C62" s="5"/>
      <c r="D62" s="5"/>
      <c r="E62" s="5"/>
      <c r="F62" s="5"/>
      <c r="G62" s="5"/>
      <c r="H62" s="5"/>
      <c r="I62" s="5"/>
      <c r="J62" s="5"/>
      <c r="K62" s="5"/>
      <c r="L62" s="5"/>
      <c r="M62" s="5"/>
    </row>
    <row r="63" spans="1:13" x14ac:dyDescent="0.3">
      <c r="B63" s="5"/>
      <c r="C63" s="5"/>
      <c r="D63" s="5"/>
      <c r="E63" s="5"/>
      <c r="F63" s="5"/>
      <c r="G63" s="5"/>
      <c r="H63" s="5"/>
      <c r="I63" s="5"/>
      <c r="J63" s="5"/>
      <c r="K63" s="5"/>
      <c r="L63" s="5"/>
      <c r="M63" s="5"/>
    </row>
  </sheetData>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B1:AG492"/>
  <sheetViews>
    <sheetView topLeftCell="O1" workbookViewId="0">
      <selection activeCell="AD2" sqref="AD2:AD10"/>
    </sheetView>
  </sheetViews>
  <sheetFormatPr defaultRowHeight="14.4" x14ac:dyDescent="0.3"/>
  <cols>
    <col min="2" max="2" width="20.5546875" customWidth="1"/>
    <col min="4" max="4" width="16.109375" customWidth="1"/>
    <col min="6" max="6" width="14.44140625" customWidth="1"/>
    <col min="9" max="9" width="24" customWidth="1"/>
    <col min="14" max="14" width="26.6640625" customWidth="1"/>
    <col min="27" max="27" width="12.44140625" customWidth="1"/>
    <col min="30" max="30" width="18.88671875" customWidth="1"/>
  </cols>
  <sheetData>
    <row r="1" spans="2:33" x14ac:dyDescent="0.3">
      <c r="B1" s="2" t="s">
        <v>403</v>
      </c>
      <c r="D1" s="2" t="s">
        <v>404</v>
      </c>
      <c r="F1" s="2" t="s">
        <v>416</v>
      </c>
      <c r="I1" t="s">
        <v>916</v>
      </c>
      <c r="J1" t="s">
        <v>417</v>
      </c>
      <c r="O1" s="10" t="s">
        <v>794</v>
      </c>
      <c r="P1" s="10" t="s">
        <v>795</v>
      </c>
      <c r="Q1" s="10" t="s">
        <v>796</v>
      </c>
      <c r="R1" s="10" t="s">
        <v>762</v>
      </c>
      <c r="T1" t="s">
        <v>915</v>
      </c>
      <c r="AA1" t="s">
        <v>926</v>
      </c>
      <c r="AD1" t="s">
        <v>926</v>
      </c>
    </row>
    <row r="2" spans="2:33" x14ac:dyDescent="0.3">
      <c r="B2" t="s">
        <v>398</v>
      </c>
      <c r="D2" t="s">
        <v>414</v>
      </c>
      <c r="F2" s="3">
        <v>40954</v>
      </c>
      <c r="I2" t="s">
        <v>418</v>
      </c>
      <c r="J2" t="s">
        <v>796</v>
      </c>
      <c r="N2" t="s">
        <v>787</v>
      </c>
      <c r="O2">
        <v>39</v>
      </c>
      <c r="P2">
        <v>61</v>
      </c>
      <c r="Q2">
        <v>74</v>
      </c>
      <c r="R2">
        <v>80</v>
      </c>
      <c r="T2" t="s">
        <v>787</v>
      </c>
      <c r="AA2" s="36" t="s">
        <v>917</v>
      </c>
      <c r="AB2" s="37">
        <v>20</v>
      </c>
      <c r="AD2" t="s">
        <v>917</v>
      </c>
      <c r="AE2">
        <v>15</v>
      </c>
      <c r="AG2" t="s">
        <v>64</v>
      </c>
    </row>
    <row r="3" spans="2:33" x14ac:dyDescent="0.3">
      <c r="B3" t="s">
        <v>399</v>
      </c>
      <c r="D3" t="s">
        <v>405</v>
      </c>
      <c r="F3" s="3">
        <v>40969</v>
      </c>
      <c r="I3" t="s">
        <v>937</v>
      </c>
      <c r="J3" t="s">
        <v>429</v>
      </c>
      <c r="N3" t="s">
        <v>788</v>
      </c>
      <c r="O3">
        <v>49</v>
      </c>
      <c r="P3">
        <v>69</v>
      </c>
      <c r="Q3">
        <v>79</v>
      </c>
      <c r="R3">
        <v>84</v>
      </c>
      <c r="T3" t="s">
        <v>788</v>
      </c>
      <c r="AA3" s="38" t="s">
        <v>918</v>
      </c>
      <c r="AB3" s="39">
        <v>28</v>
      </c>
      <c r="AD3" t="s">
        <v>927</v>
      </c>
      <c r="AE3">
        <v>20</v>
      </c>
    </row>
    <row r="4" spans="2:33" x14ac:dyDescent="0.3">
      <c r="B4" t="s">
        <v>400</v>
      </c>
      <c r="D4" t="s">
        <v>406</v>
      </c>
      <c r="F4" s="3">
        <v>40983</v>
      </c>
      <c r="I4" t="s">
        <v>419</v>
      </c>
      <c r="J4" t="s">
        <v>420</v>
      </c>
      <c r="N4" t="s">
        <v>789</v>
      </c>
      <c r="O4">
        <v>68</v>
      </c>
      <c r="P4">
        <v>79</v>
      </c>
      <c r="Q4">
        <v>86</v>
      </c>
      <c r="R4">
        <v>89</v>
      </c>
      <c r="T4" t="s">
        <v>789</v>
      </c>
      <c r="AA4" s="40" t="s">
        <v>919</v>
      </c>
      <c r="AB4" s="39">
        <v>7</v>
      </c>
      <c r="AD4" t="s">
        <v>918</v>
      </c>
      <c r="AE4">
        <v>30</v>
      </c>
      <c r="AG4">
        <f>62.4/7.48</f>
        <v>8.3422459893048124</v>
      </c>
    </row>
    <row r="5" spans="2:33" x14ac:dyDescent="0.3">
      <c r="D5" t="s">
        <v>407</v>
      </c>
      <c r="F5" s="3">
        <v>41000</v>
      </c>
      <c r="I5" t="s">
        <v>421</v>
      </c>
      <c r="J5" t="s">
        <v>422</v>
      </c>
      <c r="N5" t="s">
        <v>790</v>
      </c>
      <c r="O5">
        <v>30</v>
      </c>
      <c r="P5">
        <v>58</v>
      </c>
      <c r="Q5">
        <v>71</v>
      </c>
      <c r="R5">
        <v>78</v>
      </c>
      <c r="T5" t="s">
        <v>790</v>
      </c>
      <c r="AA5" s="40" t="s">
        <v>920</v>
      </c>
      <c r="AB5" s="39">
        <v>20</v>
      </c>
      <c r="AD5" t="s">
        <v>920</v>
      </c>
      <c r="AE5">
        <v>15</v>
      </c>
      <c r="AG5">
        <f>182/AG4</f>
        <v>21.816666666666666</v>
      </c>
    </row>
    <row r="6" spans="2:33" x14ac:dyDescent="0.3">
      <c r="D6" t="s">
        <v>739</v>
      </c>
      <c r="F6" s="3">
        <v>41014</v>
      </c>
      <c r="I6" t="s">
        <v>314</v>
      </c>
      <c r="J6" t="s">
        <v>420</v>
      </c>
      <c r="N6" t="s">
        <v>807</v>
      </c>
      <c r="O6">
        <v>32</v>
      </c>
      <c r="P6">
        <v>58</v>
      </c>
      <c r="Q6">
        <v>72</v>
      </c>
      <c r="R6">
        <v>79</v>
      </c>
      <c r="T6" t="s">
        <v>807</v>
      </c>
      <c r="AA6" s="40" t="s">
        <v>921</v>
      </c>
      <c r="AB6" s="39">
        <v>7</v>
      </c>
      <c r="AD6" t="s">
        <v>921</v>
      </c>
      <c r="AE6">
        <v>2</v>
      </c>
    </row>
    <row r="7" spans="2:33" x14ac:dyDescent="0.3">
      <c r="D7" t="s">
        <v>738</v>
      </c>
      <c r="F7" s="3">
        <v>41030</v>
      </c>
      <c r="I7" t="s">
        <v>1024</v>
      </c>
      <c r="J7" t="s">
        <v>762</v>
      </c>
      <c r="N7" t="s">
        <v>808</v>
      </c>
      <c r="O7">
        <v>43</v>
      </c>
      <c r="P7">
        <v>65</v>
      </c>
      <c r="Q7">
        <v>76</v>
      </c>
      <c r="R7">
        <v>82</v>
      </c>
      <c r="T7" t="s">
        <v>808</v>
      </c>
      <c r="AA7" s="41" t="s">
        <v>922</v>
      </c>
      <c r="AB7" s="39">
        <v>25</v>
      </c>
      <c r="AD7" t="s">
        <v>922</v>
      </c>
      <c r="AE7">
        <v>8</v>
      </c>
    </row>
    <row r="8" spans="2:33" x14ac:dyDescent="0.3">
      <c r="D8" t="s">
        <v>412</v>
      </c>
      <c r="F8" s="3">
        <v>41044</v>
      </c>
      <c r="I8" t="s">
        <v>423</v>
      </c>
      <c r="J8" t="s">
        <v>422</v>
      </c>
      <c r="N8" t="s">
        <v>809</v>
      </c>
      <c r="O8">
        <v>57</v>
      </c>
      <c r="P8">
        <v>73</v>
      </c>
      <c r="Q8">
        <v>82</v>
      </c>
      <c r="R8">
        <v>86</v>
      </c>
      <c r="T8" t="s">
        <v>809</v>
      </c>
      <c r="AA8" s="40" t="s">
        <v>923</v>
      </c>
      <c r="AB8" s="39">
        <v>23</v>
      </c>
      <c r="AD8" t="s">
        <v>923</v>
      </c>
      <c r="AE8">
        <v>35</v>
      </c>
    </row>
    <row r="9" spans="2:33" x14ac:dyDescent="0.3">
      <c r="D9" t="s">
        <v>735</v>
      </c>
      <c r="F9" s="3">
        <v>41061</v>
      </c>
      <c r="I9" t="s">
        <v>424</v>
      </c>
      <c r="J9" t="s">
        <v>425</v>
      </c>
      <c r="N9" t="s">
        <v>791</v>
      </c>
      <c r="O9">
        <v>30</v>
      </c>
      <c r="P9">
        <v>55</v>
      </c>
      <c r="Q9">
        <v>70</v>
      </c>
      <c r="R9">
        <v>77</v>
      </c>
      <c r="T9" t="s">
        <v>791</v>
      </c>
      <c r="AA9" s="38" t="s">
        <v>924</v>
      </c>
      <c r="AB9" s="39">
        <v>35</v>
      </c>
      <c r="AD9" t="s">
        <v>924</v>
      </c>
      <c r="AE9">
        <v>45</v>
      </c>
    </row>
    <row r="10" spans="2:33" x14ac:dyDescent="0.3">
      <c r="D10" t="s">
        <v>410</v>
      </c>
      <c r="F10" s="3">
        <v>41075</v>
      </c>
      <c r="I10" t="s">
        <v>1025</v>
      </c>
      <c r="J10" t="s">
        <v>795</v>
      </c>
      <c r="N10" t="s">
        <v>792</v>
      </c>
      <c r="O10">
        <v>36</v>
      </c>
      <c r="P10">
        <v>60</v>
      </c>
      <c r="Q10">
        <v>73</v>
      </c>
      <c r="R10">
        <v>79</v>
      </c>
      <c r="T10" t="s">
        <v>792</v>
      </c>
      <c r="AA10" s="42" t="s">
        <v>925</v>
      </c>
      <c r="AB10" s="43">
        <v>7</v>
      </c>
      <c r="AD10" t="s">
        <v>928</v>
      </c>
      <c r="AE10">
        <v>2</v>
      </c>
    </row>
    <row r="11" spans="2:33" x14ac:dyDescent="0.3">
      <c r="D11" t="s">
        <v>409</v>
      </c>
      <c r="F11" s="3">
        <v>41091</v>
      </c>
      <c r="I11" t="s">
        <v>426</v>
      </c>
      <c r="J11" t="s">
        <v>420</v>
      </c>
      <c r="N11" t="s">
        <v>793</v>
      </c>
      <c r="O11">
        <v>45</v>
      </c>
      <c r="P11">
        <v>66</v>
      </c>
      <c r="Q11">
        <v>77</v>
      </c>
      <c r="R11">
        <v>83</v>
      </c>
      <c r="T11" t="s">
        <v>793</v>
      </c>
      <c r="AD11" t="s">
        <v>1157</v>
      </c>
      <c r="AE11">
        <v>0</v>
      </c>
    </row>
    <row r="12" spans="2:33" x14ac:dyDescent="0.3">
      <c r="D12" t="s">
        <v>411</v>
      </c>
      <c r="F12" s="3">
        <v>41105</v>
      </c>
      <c r="I12" t="s">
        <v>427</v>
      </c>
      <c r="J12" t="s">
        <v>420</v>
      </c>
      <c r="N12" t="s">
        <v>810</v>
      </c>
      <c r="O12">
        <v>77</v>
      </c>
      <c r="P12">
        <v>86</v>
      </c>
      <c r="Q12">
        <v>91</v>
      </c>
      <c r="R12">
        <v>94</v>
      </c>
      <c r="T12" t="s">
        <v>810</v>
      </c>
      <c r="AA12" s="44" t="s">
        <v>930</v>
      </c>
      <c r="AD12" t="s">
        <v>929</v>
      </c>
    </row>
    <row r="13" spans="2:33" x14ac:dyDescent="0.3">
      <c r="D13" t="s">
        <v>408</v>
      </c>
      <c r="F13" s="3">
        <v>41122</v>
      </c>
      <c r="I13" t="s">
        <v>938</v>
      </c>
      <c r="J13" t="s">
        <v>429</v>
      </c>
      <c r="N13" t="s">
        <v>812</v>
      </c>
      <c r="O13">
        <v>74</v>
      </c>
      <c r="P13">
        <v>82</v>
      </c>
      <c r="Q13">
        <v>86</v>
      </c>
      <c r="R13">
        <v>90</v>
      </c>
      <c r="T13" t="s">
        <v>812</v>
      </c>
    </row>
    <row r="14" spans="2:33" x14ac:dyDescent="0.3">
      <c r="D14" t="s">
        <v>1014</v>
      </c>
      <c r="F14" s="3">
        <v>41136</v>
      </c>
      <c r="I14" t="s">
        <v>428</v>
      </c>
      <c r="J14" t="s">
        <v>429</v>
      </c>
      <c r="N14" t="s">
        <v>811</v>
      </c>
      <c r="O14">
        <v>76</v>
      </c>
      <c r="P14">
        <v>85</v>
      </c>
      <c r="Q14">
        <v>90</v>
      </c>
      <c r="R14">
        <v>93</v>
      </c>
      <c r="T14" t="s">
        <v>811</v>
      </c>
    </row>
    <row r="15" spans="2:33" x14ac:dyDescent="0.3">
      <c r="D15" t="s">
        <v>1013</v>
      </c>
      <c r="F15" s="3">
        <v>41153</v>
      </c>
      <c r="I15" t="s">
        <v>1026</v>
      </c>
      <c r="J15" t="s">
        <v>796</v>
      </c>
      <c r="N15" t="s">
        <v>798</v>
      </c>
      <c r="O15">
        <v>67</v>
      </c>
      <c r="P15">
        <v>78</v>
      </c>
      <c r="Q15">
        <v>85</v>
      </c>
      <c r="R15">
        <v>89</v>
      </c>
      <c r="T15" t="s">
        <v>798</v>
      </c>
    </row>
    <row r="16" spans="2:33" x14ac:dyDescent="0.3">
      <c r="D16" t="s">
        <v>992</v>
      </c>
      <c r="F16" s="3">
        <v>41167</v>
      </c>
      <c r="I16" t="s">
        <v>430</v>
      </c>
      <c r="J16" t="s">
        <v>429</v>
      </c>
      <c r="N16" t="s">
        <v>797</v>
      </c>
      <c r="O16">
        <v>72</v>
      </c>
      <c r="P16">
        <v>81</v>
      </c>
      <c r="Q16">
        <v>8</v>
      </c>
      <c r="R16">
        <v>91</v>
      </c>
      <c r="T16" t="s">
        <v>797</v>
      </c>
    </row>
    <row r="17" spans="2:31" x14ac:dyDescent="0.3">
      <c r="D17" t="s">
        <v>413</v>
      </c>
      <c r="F17" s="3">
        <v>41183</v>
      </c>
      <c r="I17" t="s">
        <v>1027</v>
      </c>
      <c r="J17" t="s">
        <v>795</v>
      </c>
      <c r="N17" t="s">
        <v>801</v>
      </c>
      <c r="O17">
        <v>64</v>
      </c>
      <c r="P17">
        <v>75</v>
      </c>
      <c r="Q17">
        <v>82</v>
      </c>
      <c r="R17">
        <v>85</v>
      </c>
      <c r="T17" t="s">
        <v>801</v>
      </c>
    </row>
    <row r="18" spans="2:31" x14ac:dyDescent="0.3">
      <c r="D18" t="s">
        <v>415</v>
      </c>
      <c r="F18" s="3">
        <v>41197</v>
      </c>
      <c r="I18" t="s">
        <v>431</v>
      </c>
      <c r="J18" t="s">
        <v>420</v>
      </c>
      <c r="N18" t="s">
        <v>802</v>
      </c>
      <c r="O18">
        <v>71</v>
      </c>
      <c r="P18">
        <v>80</v>
      </c>
      <c r="Q18">
        <v>87</v>
      </c>
      <c r="R18">
        <v>90</v>
      </c>
      <c r="T18" t="s">
        <v>802</v>
      </c>
    </row>
    <row r="19" spans="2:31" x14ac:dyDescent="0.3">
      <c r="D19" t="s">
        <v>993</v>
      </c>
      <c r="F19" s="3">
        <v>41214</v>
      </c>
      <c r="I19" t="s">
        <v>432</v>
      </c>
      <c r="J19" t="s">
        <v>425</v>
      </c>
      <c r="N19" t="s">
        <v>800</v>
      </c>
      <c r="O19">
        <v>64</v>
      </c>
      <c r="P19">
        <v>74</v>
      </c>
      <c r="Q19">
        <v>81</v>
      </c>
      <c r="R19">
        <v>85</v>
      </c>
      <c r="T19" t="s">
        <v>800</v>
      </c>
    </row>
    <row r="20" spans="2:31" x14ac:dyDescent="0.3">
      <c r="I20" t="s">
        <v>433</v>
      </c>
      <c r="J20" t="s">
        <v>422</v>
      </c>
      <c r="N20" t="s">
        <v>799</v>
      </c>
      <c r="O20">
        <v>69</v>
      </c>
      <c r="P20">
        <v>75</v>
      </c>
      <c r="Q20">
        <v>82</v>
      </c>
      <c r="R20">
        <v>86</v>
      </c>
      <c r="T20" t="s">
        <v>799</v>
      </c>
    </row>
    <row r="21" spans="2:31" x14ac:dyDescent="0.3">
      <c r="B21" t="s">
        <v>774</v>
      </c>
      <c r="D21" t="s">
        <v>780</v>
      </c>
      <c r="I21" t="s">
        <v>434</v>
      </c>
      <c r="J21" t="s">
        <v>420</v>
      </c>
      <c r="N21" t="s">
        <v>803</v>
      </c>
      <c r="O21">
        <v>63</v>
      </c>
      <c r="P21">
        <v>75</v>
      </c>
      <c r="Q21">
        <v>83</v>
      </c>
      <c r="R21">
        <v>87</v>
      </c>
      <c r="T21" t="s">
        <v>803</v>
      </c>
    </row>
    <row r="22" spans="2:31" x14ac:dyDescent="0.3">
      <c r="B22" t="s">
        <v>775</v>
      </c>
      <c r="D22">
        <v>90</v>
      </c>
      <c r="I22" t="s">
        <v>435</v>
      </c>
      <c r="J22" t="s">
        <v>420</v>
      </c>
      <c r="N22" t="s">
        <v>804</v>
      </c>
      <c r="O22">
        <v>65</v>
      </c>
      <c r="P22">
        <v>76</v>
      </c>
      <c r="Q22">
        <v>84</v>
      </c>
      <c r="R22">
        <v>88</v>
      </c>
      <c r="T22" t="s">
        <v>804</v>
      </c>
      <c r="AD22" t="s">
        <v>64</v>
      </c>
      <c r="AE22" t="s">
        <v>64</v>
      </c>
    </row>
    <row r="23" spans="2:31" x14ac:dyDescent="0.3">
      <c r="B23" t="s">
        <v>776</v>
      </c>
      <c r="D23">
        <v>80</v>
      </c>
      <c r="I23" t="s">
        <v>436</v>
      </c>
      <c r="J23" t="s">
        <v>429</v>
      </c>
      <c r="N23" t="s">
        <v>805</v>
      </c>
      <c r="O23">
        <v>60</v>
      </c>
      <c r="P23">
        <v>72</v>
      </c>
      <c r="Q23">
        <v>80</v>
      </c>
      <c r="R23">
        <v>84</v>
      </c>
      <c r="T23" t="s">
        <v>805</v>
      </c>
    </row>
    <row r="24" spans="2:31" x14ac:dyDescent="0.3">
      <c r="B24" t="s">
        <v>777</v>
      </c>
      <c r="D24">
        <v>70</v>
      </c>
      <c r="I24" t="s">
        <v>437</v>
      </c>
      <c r="J24" t="s">
        <v>420</v>
      </c>
      <c r="N24" t="s">
        <v>806</v>
      </c>
      <c r="O24">
        <v>64</v>
      </c>
      <c r="P24">
        <v>75</v>
      </c>
      <c r="Q24">
        <v>83</v>
      </c>
      <c r="R24">
        <v>86</v>
      </c>
      <c r="T24" t="s">
        <v>806</v>
      </c>
    </row>
    <row r="25" spans="2:31" x14ac:dyDescent="0.3">
      <c r="B25" t="s">
        <v>778</v>
      </c>
      <c r="D25">
        <v>75</v>
      </c>
      <c r="I25" t="s">
        <v>438</v>
      </c>
      <c r="J25" t="s">
        <v>795</v>
      </c>
    </row>
    <row r="26" spans="2:31" x14ac:dyDescent="0.3">
      <c r="B26" t="s">
        <v>784</v>
      </c>
      <c r="I26" t="s">
        <v>939</v>
      </c>
      <c r="J26" t="s">
        <v>429</v>
      </c>
      <c r="N26" t="s">
        <v>813</v>
      </c>
    </row>
    <row r="27" spans="2:31" x14ac:dyDescent="0.3">
      <c r="I27" t="s">
        <v>1028</v>
      </c>
      <c r="J27" t="s">
        <v>794</v>
      </c>
      <c r="N27" t="s">
        <v>787</v>
      </c>
    </row>
    <row r="28" spans="2:31" x14ac:dyDescent="0.3">
      <c r="I28" t="s">
        <v>1029</v>
      </c>
      <c r="J28" t="s">
        <v>795</v>
      </c>
      <c r="N28" t="s">
        <v>788</v>
      </c>
    </row>
    <row r="29" spans="2:31" x14ac:dyDescent="0.3">
      <c r="I29" t="s">
        <v>439</v>
      </c>
      <c r="J29" t="s">
        <v>425</v>
      </c>
      <c r="N29" t="s">
        <v>789</v>
      </c>
    </row>
    <row r="30" spans="2:31" x14ac:dyDescent="0.3">
      <c r="B30" t="s">
        <v>1018</v>
      </c>
      <c r="I30" t="s">
        <v>440</v>
      </c>
      <c r="J30" t="s">
        <v>420</v>
      </c>
      <c r="N30" t="s">
        <v>790</v>
      </c>
    </row>
    <row r="31" spans="2:31" x14ac:dyDescent="0.3">
      <c r="B31" t="s">
        <v>1019</v>
      </c>
      <c r="I31" t="s">
        <v>441</v>
      </c>
      <c r="J31" t="s">
        <v>425</v>
      </c>
      <c r="N31" t="s">
        <v>807</v>
      </c>
    </row>
    <row r="32" spans="2:31" x14ac:dyDescent="0.3">
      <c r="I32" t="s">
        <v>40</v>
      </c>
      <c r="J32" t="s">
        <v>429</v>
      </c>
      <c r="N32" t="s">
        <v>808</v>
      </c>
    </row>
    <row r="33" spans="9:14" x14ac:dyDescent="0.3">
      <c r="I33" t="s">
        <v>442</v>
      </c>
      <c r="J33" t="s">
        <v>422</v>
      </c>
      <c r="N33" t="s">
        <v>809</v>
      </c>
    </row>
    <row r="34" spans="9:14" x14ac:dyDescent="0.3">
      <c r="I34" t="s">
        <v>443</v>
      </c>
      <c r="J34" t="s">
        <v>429</v>
      </c>
      <c r="N34" t="s">
        <v>791</v>
      </c>
    </row>
    <row r="35" spans="9:14" x14ac:dyDescent="0.3">
      <c r="I35" t="s">
        <v>444</v>
      </c>
      <c r="J35" t="s">
        <v>429</v>
      </c>
      <c r="N35" t="s">
        <v>792</v>
      </c>
    </row>
    <row r="36" spans="9:14" x14ac:dyDescent="0.3">
      <c r="I36" t="s">
        <v>350</v>
      </c>
      <c r="J36" t="s">
        <v>425</v>
      </c>
      <c r="N36" t="s">
        <v>793</v>
      </c>
    </row>
    <row r="37" spans="9:14" x14ac:dyDescent="0.3">
      <c r="I37" t="s">
        <v>445</v>
      </c>
      <c r="J37" t="s">
        <v>429</v>
      </c>
      <c r="N37" t="s">
        <v>810</v>
      </c>
    </row>
    <row r="38" spans="9:14" x14ac:dyDescent="0.3">
      <c r="I38" t="s">
        <v>446</v>
      </c>
      <c r="J38" t="s">
        <v>420</v>
      </c>
      <c r="N38" t="s">
        <v>812</v>
      </c>
    </row>
    <row r="39" spans="9:14" x14ac:dyDescent="0.3">
      <c r="I39" t="s">
        <v>447</v>
      </c>
      <c r="J39" t="s">
        <v>429</v>
      </c>
      <c r="N39" t="s">
        <v>811</v>
      </c>
    </row>
    <row r="40" spans="9:14" x14ac:dyDescent="0.3">
      <c r="I40" t="s">
        <v>1030</v>
      </c>
      <c r="J40" t="s">
        <v>794</v>
      </c>
      <c r="N40" t="s">
        <v>798</v>
      </c>
    </row>
    <row r="41" spans="9:14" x14ac:dyDescent="0.3">
      <c r="I41" t="s">
        <v>329</v>
      </c>
      <c r="J41" t="s">
        <v>429</v>
      </c>
      <c r="N41" t="s">
        <v>797</v>
      </c>
    </row>
    <row r="42" spans="9:14" x14ac:dyDescent="0.3">
      <c r="I42" t="s">
        <v>448</v>
      </c>
      <c r="J42" t="s">
        <v>420</v>
      </c>
      <c r="N42" t="s">
        <v>801</v>
      </c>
    </row>
    <row r="43" spans="9:14" x14ac:dyDescent="0.3">
      <c r="I43" t="s">
        <v>449</v>
      </c>
      <c r="J43" t="s">
        <v>422</v>
      </c>
      <c r="N43" t="s">
        <v>802</v>
      </c>
    </row>
    <row r="44" spans="9:14" x14ac:dyDescent="0.3">
      <c r="I44" t="s">
        <v>450</v>
      </c>
      <c r="J44" t="s">
        <v>429</v>
      </c>
      <c r="N44" t="s">
        <v>800</v>
      </c>
    </row>
    <row r="45" spans="9:14" x14ac:dyDescent="0.3">
      <c r="I45" t="s">
        <v>451</v>
      </c>
      <c r="J45" t="s">
        <v>422</v>
      </c>
      <c r="N45" t="s">
        <v>799</v>
      </c>
    </row>
    <row r="46" spans="9:14" x14ac:dyDescent="0.3">
      <c r="I46" t="s">
        <v>452</v>
      </c>
      <c r="J46" t="s">
        <v>425</v>
      </c>
      <c r="N46" t="s">
        <v>803</v>
      </c>
    </row>
    <row r="47" spans="9:14" x14ac:dyDescent="0.3">
      <c r="I47" t="s">
        <v>453</v>
      </c>
      <c r="J47" t="s">
        <v>422</v>
      </c>
      <c r="N47" t="s">
        <v>804</v>
      </c>
    </row>
    <row r="48" spans="9:14" x14ac:dyDescent="0.3">
      <c r="I48" t="s">
        <v>1031</v>
      </c>
      <c r="J48" t="s">
        <v>795</v>
      </c>
      <c r="N48" t="s">
        <v>805</v>
      </c>
    </row>
    <row r="49" spans="9:14" x14ac:dyDescent="0.3">
      <c r="I49" t="s">
        <v>1032</v>
      </c>
      <c r="J49" t="s">
        <v>795</v>
      </c>
      <c r="N49" t="s">
        <v>806</v>
      </c>
    </row>
    <row r="50" spans="9:14" x14ac:dyDescent="0.3">
      <c r="I50" t="s">
        <v>454</v>
      </c>
      <c r="J50" t="s">
        <v>425</v>
      </c>
    </row>
    <row r="51" spans="9:14" x14ac:dyDescent="0.3">
      <c r="I51" t="s">
        <v>1033</v>
      </c>
      <c r="J51" t="s">
        <v>795</v>
      </c>
      <c r="N51" t="s">
        <v>814</v>
      </c>
    </row>
    <row r="52" spans="9:14" x14ac:dyDescent="0.3">
      <c r="I52" t="s">
        <v>1034</v>
      </c>
      <c r="J52" t="s">
        <v>795</v>
      </c>
      <c r="N52" t="s">
        <v>787</v>
      </c>
    </row>
    <row r="53" spans="9:14" x14ac:dyDescent="0.3">
      <c r="I53" t="s">
        <v>1035</v>
      </c>
      <c r="J53" t="s">
        <v>795</v>
      </c>
      <c r="N53" t="s">
        <v>788</v>
      </c>
    </row>
    <row r="54" spans="9:14" x14ac:dyDescent="0.3">
      <c r="I54" t="s">
        <v>455</v>
      </c>
      <c r="J54" t="s">
        <v>425</v>
      </c>
      <c r="N54" t="s">
        <v>789</v>
      </c>
    </row>
    <row r="55" spans="9:14" x14ac:dyDescent="0.3">
      <c r="I55" t="s">
        <v>456</v>
      </c>
      <c r="J55" t="s">
        <v>429</v>
      </c>
      <c r="N55" t="s">
        <v>790</v>
      </c>
    </row>
    <row r="56" spans="9:14" x14ac:dyDescent="0.3">
      <c r="I56" t="s">
        <v>1036</v>
      </c>
      <c r="J56" t="s">
        <v>795</v>
      </c>
      <c r="N56" t="s">
        <v>807</v>
      </c>
    </row>
    <row r="57" spans="9:14" x14ac:dyDescent="0.3">
      <c r="I57" t="s">
        <v>1037</v>
      </c>
      <c r="J57" t="s">
        <v>795</v>
      </c>
      <c r="N57" t="s">
        <v>808</v>
      </c>
    </row>
    <row r="58" spans="9:14" x14ac:dyDescent="0.3">
      <c r="I58" t="s">
        <v>306</v>
      </c>
      <c r="J58" t="s">
        <v>422</v>
      </c>
      <c r="N58" t="s">
        <v>809</v>
      </c>
    </row>
    <row r="59" spans="9:14" x14ac:dyDescent="0.3">
      <c r="I59" t="s">
        <v>1038</v>
      </c>
      <c r="J59" t="s">
        <v>795</v>
      </c>
      <c r="N59" t="s">
        <v>791</v>
      </c>
    </row>
    <row r="60" spans="9:14" x14ac:dyDescent="0.3">
      <c r="I60" t="s">
        <v>457</v>
      </c>
      <c r="J60" t="s">
        <v>420</v>
      </c>
      <c r="N60" t="s">
        <v>792</v>
      </c>
    </row>
    <row r="61" spans="9:14" x14ac:dyDescent="0.3">
      <c r="I61" t="s">
        <v>458</v>
      </c>
      <c r="J61" t="s">
        <v>429</v>
      </c>
      <c r="N61" t="s">
        <v>793</v>
      </c>
    </row>
    <row r="62" spans="9:14" x14ac:dyDescent="0.3">
      <c r="I62" t="s">
        <v>459</v>
      </c>
      <c r="J62" t="s">
        <v>422</v>
      </c>
      <c r="N62" t="s">
        <v>810</v>
      </c>
    </row>
    <row r="63" spans="9:14" x14ac:dyDescent="0.3">
      <c r="I63" t="s">
        <v>460</v>
      </c>
      <c r="J63" t="s">
        <v>425</v>
      </c>
      <c r="N63" t="s">
        <v>812</v>
      </c>
    </row>
    <row r="64" spans="9:14" x14ac:dyDescent="0.3">
      <c r="I64" t="s">
        <v>1039</v>
      </c>
      <c r="J64" t="s">
        <v>796</v>
      </c>
      <c r="N64" t="s">
        <v>811</v>
      </c>
    </row>
    <row r="65" spans="9:14" x14ac:dyDescent="0.3">
      <c r="I65" t="s">
        <v>461</v>
      </c>
      <c r="J65" t="s">
        <v>422</v>
      </c>
      <c r="N65" t="s">
        <v>798</v>
      </c>
    </row>
    <row r="66" spans="9:14" x14ac:dyDescent="0.3">
      <c r="I66" t="s">
        <v>462</v>
      </c>
      <c r="J66" t="s">
        <v>796</v>
      </c>
      <c r="N66" t="s">
        <v>797</v>
      </c>
    </row>
    <row r="67" spans="9:14" x14ac:dyDescent="0.3">
      <c r="I67" t="s">
        <v>987</v>
      </c>
      <c r="J67" t="s">
        <v>429</v>
      </c>
      <c r="N67" t="s">
        <v>801</v>
      </c>
    </row>
    <row r="68" spans="9:14" x14ac:dyDescent="0.3">
      <c r="I68" t="s">
        <v>463</v>
      </c>
      <c r="J68" t="s">
        <v>796</v>
      </c>
      <c r="N68" t="s">
        <v>802</v>
      </c>
    </row>
    <row r="69" spans="9:14" x14ac:dyDescent="0.3">
      <c r="I69" t="s">
        <v>986</v>
      </c>
      <c r="J69" t="s">
        <v>429</v>
      </c>
      <c r="N69" t="s">
        <v>800</v>
      </c>
    </row>
    <row r="70" spans="9:14" x14ac:dyDescent="0.3">
      <c r="I70" t="s">
        <v>464</v>
      </c>
      <c r="J70" t="s">
        <v>425</v>
      </c>
      <c r="N70" t="s">
        <v>799</v>
      </c>
    </row>
    <row r="71" spans="9:14" x14ac:dyDescent="0.3">
      <c r="I71" t="s">
        <v>465</v>
      </c>
      <c r="J71" t="s">
        <v>425</v>
      </c>
      <c r="N71" t="s">
        <v>803</v>
      </c>
    </row>
    <row r="72" spans="9:14" x14ac:dyDescent="0.3">
      <c r="I72" t="s">
        <v>307</v>
      </c>
      <c r="J72" t="s">
        <v>429</v>
      </c>
      <c r="N72" t="s">
        <v>804</v>
      </c>
    </row>
    <row r="73" spans="9:14" x14ac:dyDescent="0.3">
      <c r="I73" t="s">
        <v>1040</v>
      </c>
      <c r="J73" t="s">
        <v>795</v>
      </c>
      <c r="N73" t="s">
        <v>805</v>
      </c>
    </row>
    <row r="74" spans="9:14" x14ac:dyDescent="0.3">
      <c r="I74" t="s">
        <v>1041</v>
      </c>
      <c r="J74" t="s">
        <v>795</v>
      </c>
      <c r="N74" t="s">
        <v>806</v>
      </c>
    </row>
    <row r="75" spans="9:14" x14ac:dyDescent="0.3">
      <c r="I75" t="s">
        <v>1042</v>
      </c>
      <c r="J75" t="s">
        <v>762</v>
      </c>
    </row>
    <row r="76" spans="9:14" x14ac:dyDescent="0.3">
      <c r="I76" t="s">
        <v>466</v>
      </c>
      <c r="J76" t="s">
        <v>420</v>
      </c>
    </row>
    <row r="77" spans="9:14" x14ac:dyDescent="0.3">
      <c r="I77" t="s">
        <v>467</v>
      </c>
      <c r="J77" t="s">
        <v>422</v>
      </c>
    </row>
    <row r="78" spans="9:14" x14ac:dyDescent="0.3">
      <c r="I78" t="s">
        <v>1043</v>
      </c>
      <c r="J78" t="s">
        <v>794</v>
      </c>
    </row>
    <row r="79" spans="9:14" x14ac:dyDescent="0.3">
      <c r="I79" t="s">
        <v>468</v>
      </c>
      <c r="J79" t="s">
        <v>796</v>
      </c>
    </row>
    <row r="80" spans="9:14" x14ac:dyDescent="0.3">
      <c r="I80" t="s">
        <v>985</v>
      </c>
      <c r="J80" t="s">
        <v>429</v>
      </c>
    </row>
    <row r="81" spans="9:10" x14ac:dyDescent="0.3">
      <c r="I81" t="s">
        <v>469</v>
      </c>
      <c r="J81" t="s">
        <v>420</v>
      </c>
    </row>
    <row r="82" spans="9:10" x14ac:dyDescent="0.3">
      <c r="I82" t="s">
        <v>470</v>
      </c>
      <c r="J82" t="s">
        <v>429</v>
      </c>
    </row>
    <row r="83" spans="9:10" x14ac:dyDescent="0.3">
      <c r="I83" t="s">
        <v>471</v>
      </c>
      <c r="J83" t="s">
        <v>425</v>
      </c>
    </row>
    <row r="84" spans="9:10" x14ac:dyDescent="0.3">
      <c r="I84" t="s">
        <v>1044</v>
      </c>
      <c r="J84" t="s">
        <v>795</v>
      </c>
    </row>
    <row r="85" spans="9:10" x14ac:dyDescent="0.3">
      <c r="I85" t="s">
        <v>472</v>
      </c>
      <c r="J85" t="s">
        <v>420</v>
      </c>
    </row>
    <row r="86" spans="9:10" x14ac:dyDescent="0.3">
      <c r="I86" t="s">
        <v>1045</v>
      </c>
      <c r="J86" t="s">
        <v>795</v>
      </c>
    </row>
    <row r="87" spans="9:10" x14ac:dyDescent="0.3">
      <c r="I87" t="s">
        <v>1046</v>
      </c>
      <c r="J87" t="s">
        <v>795</v>
      </c>
    </row>
    <row r="88" spans="9:10" x14ac:dyDescent="0.3">
      <c r="I88" t="s">
        <v>1047</v>
      </c>
      <c r="J88" t="s">
        <v>795</v>
      </c>
    </row>
    <row r="89" spans="9:10" x14ac:dyDescent="0.3">
      <c r="I89" t="s">
        <v>473</v>
      </c>
      <c r="J89" t="s">
        <v>425</v>
      </c>
    </row>
    <row r="90" spans="9:10" x14ac:dyDescent="0.3">
      <c r="I90" t="s">
        <v>1048</v>
      </c>
      <c r="J90" t="s">
        <v>795</v>
      </c>
    </row>
    <row r="91" spans="9:10" x14ac:dyDescent="0.3">
      <c r="I91" t="s">
        <v>474</v>
      </c>
      <c r="J91" t="s">
        <v>420</v>
      </c>
    </row>
    <row r="92" spans="9:10" x14ac:dyDescent="0.3">
      <c r="I92" t="s">
        <v>331</v>
      </c>
      <c r="J92" t="s">
        <v>429</v>
      </c>
    </row>
    <row r="93" spans="9:10" x14ac:dyDescent="0.3">
      <c r="I93" t="s">
        <v>1049</v>
      </c>
      <c r="J93" t="s">
        <v>762</v>
      </c>
    </row>
    <row r="94" spans="9:10" x14ac:dyDescent="0.3">
      <c r="I94" t="s">
        <v>475</v>
      </c>
      <c r="J94" t="s">
        <v>425</v>
      </c>
    </row>
    <row r="95" spans="9:10" x14ac:dyDescent="0.3">
      <c r="I95" t="s">
        <v>476</v>
      </c>
      <c r="J95" t="s">
        <v>425</v>
      </c>
    </row>
    <row r="96" spans="9:10" x14ac:dyDescent="0.3">
      <c r="I96" t="s">
        <v>1050</v>
      </c>
      <c r="J96" t="s">
        <v>796</v>
      </c>
    </row>
    <row r="97" spans="9:10" x14ac:dyDescent="0.3">
      <c r="I97" t="s">
        <v>1051</v>
      </c>
      <c r="J97" t="s">
        <v>795</v>
      </c>
    </row>
    <row r="98" spans="9:10" x14ac:dyDescent="0.3">
      <c r="I98" t="s">
        <v>477</v>
      </c>
      <c r="J98" t="s">
        <v>420</v>
      </c>
    </row>
    <row r="99" spans="9:10" x14ac:dyDescent="0.3">
      <c r="I99" t="s">
        <v>478</v>
      </c>
      <c r="J99" t="s">
        <v>420</v>
      </c>
    </row>
    <row r="100" spans="9:10" x14ac:dyDescent="0.3">
      <c r="I100" t="s">
        <v>1052</v>
      </c>
      <c r="J100" t="s">
        <v>795</v>
      </c>
    </row>
    <row r="101" spans="9:10" x14ac:dyDescent="0.3">
      <c r="I101" t="s">
        <v>1053</v>
      </c>
      <c r="J101" t="s">
        <v>762</v>
      </c>
    </row>
    <row r="102" spans="9:10" x14ac:dyDescent="0.3">
      <c r="I102" t="s">
        <v>479</v>
      </c>
      <c r="J102" t="s">
        <v>425</v>
      </c>
    </row>
    <row r="103" spans="9:10" x14ac:dyDescent="0.3">
      <c r="I103" t="s">
        <v>480</v>
      </c>
      <c r="J103" t="s">
        <v>425</v>
      </c>
    </row>
    <row r="104" spans="9:10" x14ac:dyDescent="0.3">
      <c r="I104" t="s">
        <v>1054</v>
      </c>
      <c r="J104" t="s">
        <v>794</v>
      </c>
    </row>
    <row r="105" spans="9:10" x14ac:dyDescent="0.3">
      <c r="I105" t="s">
        <v>481</v>
      </c>
      <c r="J105" t="s">
        <v>795</v>
      </c>
    </row>
    <row r="106" spans="9:10" x14ac:dyDescent="0.3">
      <c r="I106" t="s">
        <v>984</v>
      </c>
      <c r="J106" t="s">
        <v>429</v>
      </c>
    </row>
    <row r="107" spans="9:10" x14ac:dyDescent="0.3">
      <c r="I107" t="s">
        <v>482</v>
      </c>
      <c r="J107" t="s">
        <v>422</v>
      </c>
    </row>
    <row r="108" spans="9:10" x14ac:dyDescent="0.3">
      <c r="I108" t="s">
        <v>483</v>
      </c>
      <c r="J108" t="s">
        <v>425</v>
      </c>
    </row>
    <row r="109" spans="9:10" x14ac:dyDescent="0.3">
      <c r="I109" t="s">
        <v>484</v>
      </c>
      <c r="J109" t="s">
        <v>794</v>
      </c>
    </row>
    <row r="110" spans="9:10" x14ac:dyDescent="0.3">
      <c r="I110" t="s">
        <v>983</v>
      </c>
      <c r="J110" t="s">
        <v>429</v>
      </c>
    </row>
    <row r="111" spans="9:10" x14ac:dyDescent="0.3">
      <c r="I111" t="s">
        <v>485</v>
      </c>
      <c r="J111" t="s">
        <v>420</v>
      </c>
    </row>
    <row r="112" spans="9:10" x14ac:dyDescent="0.3">
      <c r="I112" t="s">
        <v>486</v>
      </c>
      <c r="J112" t="s">
        <v>425</v>
      </c>
    </row>
    <row r="113" spans="9:10" x14ac:dyDescent="0.3">
      <c r="I113" t="s">
        <v>1055</v>
      </c>
      <c r="J113" t="s">
        <v>795</v>
      </c>
    </row>
    <row r="114" spans="9:10" x14ac:dyDescent="0.3">
      <c r="I114" t="s">
        <v>487</v>
      </c>
      <c r="J114" t="s">
        <v>429</v>
      </c>
    </row>
    <row r="115" spans="9:10" x14ac:dyDescent="0.3">
      <c r="I115" t="s">
        <v>1056</v>
      </c>
      <c r="J115" t="s">
        <v>762</v>
      </c>
    </row>
    <row r="116" spans="9:10" x14ac:dyDescent="0.3">
      <c r="I116" t="s">
        <v>488</v>
      </c>
      <c r="J116" t="s">
        <v>425</v>
      </c>
    </row>
    <row r="117" spans="9:10" x14ac:dyDescent="0.3">
      <c r="I117" t="s">
        <v>489</v>
      </c>
      <c r="J117" t="s">
        <v>425</v>
      </c>
    </row>
    <row r="118" spans="9:10" x14ac:dyDescent="0.3">
      <c r="I118" t="s">
        <v>490</v>
      </c>
      <c r="J118" t="s">
        <v>796</v>
      </c>
    </row>
    <row r="119" spans="9:10" x14ac:dyDescent="0.3">
      <c r="I119" t="s">
        <v>982</v>
      </c>
      <c r="J119" t="s">
        <v>429</v>
      </c>
    </row>
    <row r="120" spans="9:10" x14ac:dyDescent="0.3">
      <c r="I120" t="s">
        <v>1057</v>
      </c>
      <c r="J120" t="s">
        <v>795</v>
      </c>
    </row>
    <row r="121" spans="9:10" x14ac:dyDescent="0.3">
      <c r="I121" t="s">
        <v>1058</v>
      </c>
      <c r="J121" t="s">
        <v>794</v>
      </c>
    </row>
    <row r="122" spans="9:10" x14ac:dyDescent="0.3">
      <c r="I122" t="s">
        <v>1059</v>
      </c>
      <c r="J122" t="s">
        <v>794</v>
      </c>
    </row>
    <row r="123" spans="9:10" x14ac:dyDescent="0.3">
      <c r="I123" t="s">
        <v>491</v>
      </c>
      <c r="J123" t="s">
        <v>425</v>
      </c>
    </row>
    <row r="124" spans="9:10" x14ac:dyDescent="0.3">
      <c r="I124" t="s">
        <v>1060</v>
      </c>
      <c r="J124" t="s">
        <v>795</v>
      </c>
    </row>
    <row r="125" spans="9:10" x14ac:dyDescent="0.3">
      <c r="I125" t="s">
        <v>1060</v>
      </c>
      <c r="J125" t="s">
        <v>762</v>
      </c>
    </row>
    <row r="126" spans="9:10" x14ac:dyDescent="0.3">
      <c r="I126" t="s">
        <v>492</v>
      </c>
      <c r="J126" t="s">
        <v>429</v>
      </c>
    </row>
    <row r="127" spans="9:10" x14ac:dyDescent="0.3">
      <c r="I127" t="s">
        <v>493</v>
      </c>
      <c r="J127" t="s">
        <v>429</v>
      </c>
    </row>
    <row r="128" spans="9:10" x14ac:dyDescent="0.3">
      <c r="I128" t="s">
        <v>351</v>
      </c>
      <c r="J128" t="s">
        <v>420</v>
      </c>
    </row>
    <row r="129" spans="9:10" x14ac:dyDescent="0.3">
      <c r="I129" t="s">
        <v>1061</v>
      </c>
      <c r="J129" t="s">
        <v>794</v>
      </c>
    </row>
    <row r="130" spans="9:10" x14ac:dyDescent="0.3">
      <c r="I130" t="s">
        <v>494</v>
      </c>
      <c r="J130" t="s">
        <v>420</v>
      </c>
    </row>
    <row r="131" spans="9:10" x14ac:dyDescent="0.3">
      <c r="I131" t="s">
        <v>981</v>
      </c>
      <c r="J131" t="s">
        <v>429</v>
      </c>
    </row>
    <row r="132" spans="9:10" x14ac:dyDescent="0.3">
      <c r="I132" t="s">
        <v>495</v>
      </c>
      <c r="J132" t="s">
        <v>429</v>
      </c>
    </row>
    <row r="133" spans="9:10" x14ac:dyDescent="0.3">
      <c r="I133" t="s">
        <v>496</v>
      </c>
      <c r="J133" t="s">
        <v>425</v>
      </c>
    </row>
    <row r="134" spans="9:10" x14ac:dyDescent="0.3">
      <c r="I134" t="s">
        <v>1062</v>
      </c>
      <c r="J134" t="s">
        <v>796</v>
      </c>
    </row>
    <row r="135" spans="9:10" x14ac:dyDescent="0.3">
      <c r="I135" t="s">
        <v>1063</v>
      </c>
      <c r="J135" t="s">
        <v>795</v>
      </c>
    </row>
    <row r="136" spans="9:10" x14ac:dyDescent="0.3">
      <c r="I136" t="s">
        <v>1064</v>
      </c>
      <c r="J136" t="s">
        <v>796</v>
      </c>
    </row>
    <row r="137" spans="9:10" x14ac:dyDescent="0.3">
      <c r="I137" t="s">
        <v>497</v>
      </c>
      <c r="J137" t="s">
        <v>425</v>
      </c>
    </row>
    <row r="138" spans="9:10" x14ac:dyDescent="0.3">
      <c r="I138" t="s">
        <v>498</v>
      </c>
      <c r="J138" t="s">
        <v>429</v>
      </c>
    </row>
    <row r="139" spans="9:10" x14ac:dyDescent="0.3">
      <c r="I139" t="s">
        <v>499</v>
      </c>
      <c r="J139" t="s">
        <v>420</v>
      </c>
    </row>
    <row r="140" spans="9:10" x14ac:dyDescent="0.3">
      <c r="I140" t="s">
        <v>500</v>
      </c>
      <c r="J140" t="s">
        <v>425</v>
      </c>
    </row>
    <row r="141" spans="9:10" x14ac:dyDescent="0.3">
      <c r="I141" t="s">
        <v>501</v>
      </c>
      <c r="J141" t="s">
        <v>794</v>
      </c>
    </row>
    <row r="142" spans="9:10" x14ac:dyDescent="0.3">
      <c r="I142" t="s">
        <v>980</v>
      </c>
      <c r="J142" t="s">
        <v>429</v>
      </c>
    </row>
    <row r="143" spans="9:10" x14ac:dyDescent="0.3">
      <c r="I143" t="s">
        <v>502</v>
      </c>
      <c r="J143" t="s">
        <v>796</v>
      </c>
    </row>
    <row r="144" spans="9:10" x14ac:dyDescent="0.3">
      <c r="I144" t="s">
        <v>979</v>
      </c>
      <c r="J144" t="s">
        <v>429</v>
      </c>
    </row>
    <row r="145" spans="9:10" x14ac:dyDescent="0.3">
      <c r="I145" t="s">
        <v>503</v>
      </c>
      <c r="J145" t="s">
        <v>422</v>
      </c>
    </row>
    <row r="146" spans="9:10" x14ac:dyDescent="0.3">
      <c r="I146" t="s">
        <v>504</v>
      </c>
      <c r="J146" t="s">
        <v>425</v>
      </c>
    </row>
    <row r="147" spans="9:10" x14ac:dyDescent="0.3">
      <c r="I147" t="s">
        <v>100</v>
      </c>
      <c r="J147" t="s">
        <v>420</v>
      </c>
    </row>
    <row r="148" spans="9:10" x14ac:dyDescent="0.3">
      <c r="I148" t="s">
        <v>505</v>
      </c>
      <c r="J148" t="s">
        <v>422</v>
      </c>
    </row>
    <row r="149" spans="9:10" x14ac:dyDescent="0.3">
      <c r="I149" t="s">
        <v>1065</v>
      </c>
      <c r="J149" t="s">
        <v>795</v>
      </c>
    </row>
    <row r="150" spans="9:10" x14ac:dyDescent="0.3">
      <c r="I150" t="s">
        <v>1066</v>
      </c>
      <c r="J150" t="s">
        <v>794</v>
      </c>
    </row>
    <row r="151" spans="9:10" x14ac:dyDescent="0.3">
      <c r="I151" t="s">
        <v>1067</v>
      </c>
      <c r="J151" t="s">
        <v>795</v>
      </c>
    </row>
    <row r="152" spans="9:10" x14ac:dyDescent="0.3">
      <c r="I152" t="s">
        <v>1067</v>
      </c>
      <c r="J152" t="s">
        <v>762</v>
      </c>
    </row>
    <row r="153" spans="9:10" x14ac:dyDescent="0.3">
      <c r="I153" t="s">
        <v>1068</v>
      </c>
      <c r="J153" t="s">
        <v>795</v>
      </c>
    </row>
    <row r="154" spans="9:10" x14ac:dyDescent="0.3">
      <c r="I154" t="s">
        <v>1069</v>
      </c>
      <c r="J154" t="s">
        <v>795</v>
      </c>
    </row>
    <row r="155" spans="9:10" x14ac:dyDescent="0.3">
      <c r="I155" t="s">
        <v>506</v>
      </c>
      <c r="J155" t="s">
        <v>425</v>
      </c>
    </row>
    <row r="156" spans="9:10" x14ac:dyDescent="0.3">
      <c r="I156" t="s">
        <v>507</v>
      </c>
      <c r="J156" t="s">
        <v>795</v>
      </c>
    </row>
    <row r="157" spans="9:10" x14ac:dyDescent="0.3">
      <c r="I157" t="s">
        <v>978</v>
      </c>
      <c r="J157" t="s">
        <v>429</v>
      </c>
    </row>
    <row r="158" spans="9:10" x14ac:dyDescent="0.3">
      <c r="I158" t="s">
        <v>508</v>
      </c>
      <c r="J158" t="s">
        <v>425</v>
      </c>
    </row>
    <row r="159" spans="9:10" x14ac:dyDescent="0.3">
      <c r="I159" t="s">
        <v>1070</v>
      </c>
      <c r="J159" t="s">
        <v>795</v>
      </c>
    </row>
    <row r="160" spans="9:10" x14ac:dyDescent="0.3">
      <c r="I160" t="s">
        <v>1071</v>
      </c>
      <c r="J160" t="s">
        <v>795</v>
      </c>
    </row>
    <row r="161" spans="9:10" x14ac:dyDescent="0.3">
      <c r="I161" t="s">
        <v>509</v>
      </c>
      <c r="J161" t="s">
        <v>425</v>
      </c>
    </row>
    <row r="162" spans="9:10" x14ac:dyDescent="0.3">
      <c r="I162" t="s">
        <v>510</v>
      </c>
      <c r="J162" t="s">
        <v>420</v>
      </c>
    </row>
    <row r="163" spans="9:10" x14ac:dyDescent="0.3">
      <c r="I163" t="s">
        <v>511</v>
      </c>
      <c r="J163" t="s">
        <v>420</v>
      </c>
    </row>
    <row r="164" spans="9:10" x14ac:dyDescent="0.3">
      <c r="I164" t="s">
        <v>512</v>
      </c>
      <c r="J164" t="s">
        <v>420</v>
      </c>
    </row>
    <row r="165" spans="9:10" x14ac:dyDescent="0.3">
      <c r="I165" t="s">
        <v>1072</v>
      </c>
      <c r="J165" t="s">
        <v>795</v>
      </c>
    </row>
    <row r="166" spans="9:10" x14ac:dyDescent="0.3">
      <c r="I166" t="s">
        <v>394</v>
      </c>
      <c r="J166" t="s">
        <v>795</v>
      </c>
    </row>
    <row r="167" spans="9:10" x14ac:dyDescent="0.3">
      <c r="I167" t="s">
        <v>1073</v>
      </c>
      <c r="J167" t="s">
        <v>762</v>
      </c>
    </row>
    <row r="168" spans="9:10" x14ac:dyDescent="0.3">
      <c r="I168" t="s">
        <v>1074</v>
      </c>
      <c r="J168" t="s">
        <v>794</v>
      </c>
    </row>
    <row r="169" spans="9:10" x14ac:dyDescent="0.3">
      <c r="I169" t="s">
        <v>513</v>
      </c>
      <c r="J169" t="s">
        <v>420</v>
      </c>
    </row>
    <row r="170" spans="9:10" x14ac:dyDescent="0.3">
      <c r="I170" t="s">
        <v>514</v>
      </c>
      <c r="J170" t="s">
        <v>425</v>
      </c>
    </row>
    <row r="171" spans="9:10" x14ac:dyDescent="0.3">
      <c r="I171" t="s">
        <v>515</v>
      </c>
      <c r="J171" t="s">
        <v>796</v>
      </c>
    </row>
    <row r="172" spans="9:10" x14ac:dyDescent="0.3">
      <c r="I172" t="s">
        <v>977</v>
      </c>
      <c r="J172" t="s">
        <v>429</v>
      </c>
    </row>
    <row r="173" spans="9:10" x14ac:dyDescent="0.3">
      <c r="I173" t="s">
        <v>1075</v>
      </c>
      <c r="J173" t="s">
        <v>796</v>
      </c>
    </row>
    <row r="174" spans="9:10" x14ac:dyDescent="0.3">
      <c r="I174" t="s">
        <v>516</v>
      </c>
      <c r="J174" t="s">
        <v>422</v>
      </c>
    </row>
    <row r="175" spans="9:10" x14ac:dyDescent="0.3">
      <c r="I175" t="s">
        <v>517</v>
      </c>
      <c r="J175" t="s">
        <v>420</v>
      </c>
    </row>
    <row r="176" spans="9:10" x14ac:dyDescent="0.3">
      <c r="I176" t="s">
        <v>337</v>
      </c>
      <c r="J176" t="s">
        <v>420</v>
      </c>
    </row>
    <row r="177" spans="9:10" x14ac:dyDescent="0.3">
      <c r="I177" t="s">
        <v>518</v>
      </c>
      <c r="J177" t="s">
        <v>420</v>
      </c>
    </row>
    <row r="178" spans="9:10" x14ac:dyDescent="0.3">
      <c r="I178" t="s">
        <v>519</v>
      </c>
      <c r="J178" t="s">
        <v>429</v>
      </c>
    </row>
    <row r="179" spans="9:10" x14ac:dyDescent="0.3">
      <c r="I179" t="s">
        <v>520</v>
      </c>
      <c r="J179" t="s">
        <v>425</v>
      </c>
    </row>
    <row r="180" spans="9:10" x14ac:dyDescent="0.3">
      <c r="I180" t="s">
        <v>521</v>
      </c>
      <c r="J180" t="s">
        <v>420</v>
      </c>
    </row>
    <row r="181" spans="9:10" x14ac:dyDescent="0.3">
      <c r="I181" t="s">
        <v>522</v>
      </c>
      <c r="J181" t="s">
        <v>425</v>
      </c>
    </row>
    <row r="182" spans="9:10" x14ac:dyDescent="0.3">
      <c r="I182" t="s">
        <v>523</v>
      </c>
      <c r="J182" t="s">
        <v>429</v>
      </c>
    </row>
    <row r="183" spans="9:10" x14ac:dyDescent="0.3">
      <c r="I183" t="s">
        <v>315</v>
      </c>
      <c r="J183" t="s">
        <v>420</v>
      </c>
    </row>
    <row r="184" spans="9:10" x14ac:dyDescent="0.3">
      <c r="I184" t="s">
        <v>524</v>
      </c>
      <c r="J184" t="s">
        <v>429</v>
      </c>
    </row>
    <row r="185" spans="9:10" x14ac:dyDescent="0.3">
      <c r="I185" t="s">
        <v>1076</v>
      </c>
      <c r="J185" t="s">
        <v>794</v>
      </c>
    </row>
    <row r="186" spans="9:10" x14ac:dyDescent="0.3">
      <c r="I186" t="s">
        <v>525</v>
      </c>
      <c r="J186" t="s">
        <v>429</v>
      </c>
    </row>
    <row r="187" spans="9:10" x14ac:dyDescent="0.3">
      <c r="I187" t="s">
        <v>526</v>
      </c>
      <c r="J187" t="s">
        <v>425</v>
      </c>
    </row>
    <row r="188" spans="9:10" x14ac:dyDescent="0.3">
      <c r="I188" t="s">
        <v>527</v>
      </c>
      <c r="J188" t="s">
        <v>420</v>
      </c>
    </row>
    <row r="189" spans="9:10" x14ac:dyDescent="0.3">
      <c r="I189" t="s">
        <v>528</v>
      </c>
      <c r="J189" t="s">
        <v>429</v>
      </c>
    </row>
    <row r="190" spans="9:10" x14ac:dyDescent="0.3">
      <c r="I190" t="s">
        <v>529</v>
      </c>
      <c r="J190" t="s">
        <v>796</v>
      </c>
    </row>
    <row r="191" spans="9:10" x14ac:dyDescent="0.3">
      <c r="I191" t="s">
        <v>976</v>
      </c>
      <c r="J191" t="s">
        <v>429</v>
      </c>
    </row>
    <row r="192" spans="9:10" x14ac:dyDescent="0.3">
      <c r="I192" t="s">
        <v>1077</v>
      </c>
      <c r="J192" t="s">
        <v>795</v>
      </c>
    </row>
    <row r="193" spans="9:10" x14ac:dyDescent="0.3">
      <c r="I193" t="s">
        <v>530</v>
      </c>
      <c r="J193" t="s">
        <v>420</v>
      </c>
    </row>
    <row r="194" spans="9:10" x14ac:dyDescent="0.3">
      <c r="I194" t="s">
        <v>531</v>
      </c>
      <c r="J194" t="s">
        <v>425</v>
      </c>
    </row>
    <row r="195" spans="9:10" x14ac:dyDescent="0.3">
      <c r="I195" t="s">
        <v>1078</v>
      </c>
      <c r="J195" t="s">
        <v>795</v>
      </c>
    </row>
    <row r="196" spans="9:10" x14ac:dyDescent="0.3">
      <c r="I196" t="s">
        <v>532</v>
      </c>
      <c r="J196" t="s">
        <v>795</v>
      </c>
    </row>
    <row r="197" spans="9:10" x14ac:dyDescent="0.3">
      <c r="I197" t="s">
        <v>975</v>
      </c>
      <c r="J197" t="s">
        <v>429</v>
      </c>
    </row>
    <row r="198" spans="9:10" x14ac:dyDescent="0.3">
      <c r="I198" t="s">
        <v>1079</v>
      </c>
      <c r="J198" t="s">
        <v>795</v>
      </c>
    </row>
    <row r="199" spans="9:10" x14ac:dyDescent="0.3">
      <c r="I199" t="s">
        <v>1080</v>
      </c>
      <c r="J199" t="s">
        <v>794</v>
      </c>
    </row>
    <row r="200" spans="9:10" x14ac:dyDescent="0.3">
      <c r="I200" t="s">
        <v>533</v>
      </c>
      <c r="J200" t="s">
        <v>425</v>
      </c>
    </row>
    <row r="201" spans="9:10" x14ac:dyDescent="0.3">
      <c r="I201" t="s">
        <v>1081</v>
      </c>
      <c r="J201" t="s">
        <v>762</v>
      </c>
    </row>
    <row r="202" spans="9:10" x14ac:dyDescent="0.3">
      <c r="I202" t="s">
        <v>534</v>
      </c>
      <c r="J202" t="s">
        <v>420</v>
      </c>
    </row>
    <row r="203" spans="9:10" x14ac:dyDescent="0.3">
      <c r="I203" t="s">
        <v>535</v>
      </c>
      <c r="J203" t="s">
        <v>420</v>
      </c>
    </row>
    <row r="204" spans="9:10" x14ac:dyDescent="0.3">
      <c r="I204" t="s">
        <v>536</v>
      </c>
      <c r="J204" t="s">
        <v>420</v>
      </c>
    </row>
    <row r="205" spans="9:10" x14ac:dyDescent="0.3">
      <c r="I205" t="s">
        <v>537</v>
      </c>
      <c r="J205" t="s">
        <v>429</v>
      </c>
    </row>
    <row r="206" spans="9:10" x14ac:dyDescent="0.3">
      <c r="I206" t="s">
        <v>538</v>
      </c>
      <c r="J206" t="s">
        <v>429</v>
      </c>
    </row>
    <row r="207" spans="9:10" x14ac:dyDescent="0.3">
      <c r="I207" t="s">
        <v>539</v>
      </c>
      <c r="J207" t="s">
        <v>429</v>
      </c>
    </row>
    <row r="208" spans="9:10" x14ac:dyDescent="0.3">
      <c r="I208" t="s">
        <v>540</v>
      </c>
      <c r="J208" t="s">
        <v>420</v>
      </c>
    </row>
    <row r="209" spans="9:10" x14ac:dyDescent="0.3">
      <c r="I209" t="s">
        <v>1082</v>
      </c>
      <c r="J209" t="s">
        <v>795</v>
      </c>
    </row>
    <row r="210" spans="9:10" x14ac:dyDescent="0.3">
      <c r="I210" t="s">
        <v>541</v>
      </c>
      <c r="J210" t="s">
        <v>429</v>
      </c>
    </row>
    <row r="211" spans="9:10" x14ac:dyDescent="0.3">
      <c r="I211" t="s">
        <v>974</v>
      </c>
      <c r="J211" t="s">
        <v>796</v>
      </c>
    </row>
    <row r="212" spans="9:10" x14ac:dyDescent="0.3">
      <c r="I212" t="s">
        <v>542</v>
      </c>
      <c r="J212" t="s">
        <v>425</v>
      </c>
    </row>
    <row r="213" spans="9:10" x14ac:dyDescent="0.3">
      <c r="I213" t="s">
        <v>973</v>
      </c>
      <c r="J213" t="s">
        <v>429</v>
      </c>
    </row>
    <row r="214" spans="9:10" x14ac:dyDescent="0.3">
      <c r="I214" t="s">
        <v>543</v>
      </c>
      <c r="J214" t="s">
        <v>795</v>
      </c>
    </row>
    <row r="215" spans="9:10" x14ac:dyDescent="0.3">
      <c r="I215" t="s">
        <v>972</v>
      </c>
      <c r="J215" t="s">
        <v>429</v>
      </c>
    </row>
    <row r="216" spans="9:10" x14ac:dyDescent="0.3">
      <c r="I216" t="s">
        <v>544</v>
      </c>
      <c r="J216" t="s">
        <v>425</v>
      </c>
    </row>
    <row r="217" spans="9:10" x14ac:dyDescent="0.3">
      <c r="I217" t="s">
        <v>1083</v>
      </c>
      <c r="J217" t="s">
        <v>795</v>
      </c>
    </row>
    <row r="218" spans="9:10" x14ac:dyDescent="0.3">
      <c r="I218" t="s">
        <v>371</v>
      </c>
      <c r="J218" t="s">
        <v>425</v>
      </c>
    </row>
    <row r="219" spans="9:10" x14ac:dyDescent="0.3">
      <c r="I219" t="s">
        <v>971</v>
      </c>
      <c r="J219" t="s">
        <v>429</v>
      </c>
    </row>
    <row r="220" spans="9:10" x14ac:dyDescent="0.3">
      <c r="I220" t="s">
        <v>1084</v>
      </c>
      <c r="J220" t="s">
        <v>795</v>
      </c>
    </row>
    <row r="221" spans="9:10" x14ac:dyDescent="0.3">
      <c r="I221" t="s">
        <v>545</v>
      </c>
      <c r="J221" t="s">
        <v>425</v>
      </c>
    </row>
    <row r="222" spans="9:10" x14ac:dyDescent="0.3">
      <c r="I222" t="s">
        <v>323</v>
      </c>
      <c r="J222" t="s">
        <v>429</v>
      </c>
    </row>
    <row r="223" spans="9:10" x14ac:dyDescent="0.3">
      <c r="I223" t="s">
        <v>1085</v>
      </c>
      <c r="J223" t="s">
        <v>795</v>
      </c>
    </row>
    <row r="224" spans="9:10" x14ac:dyDescent="0.3">
      <c r="I224" t="s">
        <v>546</v>
      </c>
      <c r="J224" t="s">
        <v>420</v>
      </c>
    </row>
    <row r="225" spans="9:10" x14ac:dyDescent="0.3">
      <c r="I225" t="s">
        <v>1086</v>
      </c>
      <c r="J225" t="s">
        <v>795</v>
      </c>
    </row>
    <row r="226" spans="9:10" x14ac:dyDescent="0.3">
      <c r="I226" t="s">
        <v>1087</v>
      </c>
      <c r="J226" t="s">
        <v>795</v>
      </c>
    </row>
    <row r="227" spans="9:10" x14ac:dyDescent="0.3">
      <c r="I227" t="s">
        <v>547</v>
      </c>
      <c r="J227" t="s">
        <v>422</v>
      </c>
    </row>
    <row r="228" spans="9:10" x14ac:dyDescent="0.3">
      <c r="I228" t="s">
        <v>1088</v>
      </c>
      <c r="J228" t="s">
        <v>762</v>
      </c>
    </row>
    <row r="229" spans="9:10" x14ac:dyDescent="0.3">
      <c r="I229" t="s">
        <v>157</v>
      </c>
      <c r="J229" t="s">
        <v>795</v>
      </c>
    </row>
    <row r="230" spans="9:10" x14ac:dyDescent="0.3">
      <c r="I230" t="s">
        <v>970</v>
      </c>
      <c r="J230" t="s">
        <v>429</v>
      </c>
    </row>
    <row r="231" spans="9:10" x14ac:dyDescent="0.3">
      <c r="I231" t="s">
        <v>548</v>
      </c>
      <c r="J231" t="s">
        <v>425</v>
      </c>
    </row>
    <row r="232" spans="9:10" x14ac:dyDescent="0.3">
      <c r="I232" t="s">
        <v>549</v>
      </c>
      <c r="J232" t="s">
        <v>422</v>
      </c>
    </row>
    <row r="233" spans="9:10" x14ac:dyDescent="0.3">
      <c r="I233" t="s">
        <v>550</v>
      </c>
      <c r="J233" t="s">
        <v>422</v>
      </c>
    </row>
    <row r="234" spans="9:10" x14ac:dyDescent="0.3">
      <c r="I234" t="s">
        <v>1089</v>
      </c>
      <c r="J234" t="s">
        <v>795</v>
      </c>
    </row>
    <row r="235" spans="9:10" x14ac:dyDescent="0.3">
      <c r="I235" t="s">
        <v>551</v>
      </c>
      <c r="J235" t="s">
        <v>429</v>
      </c>
    </row>
    <row r="236" spans="9:10" x14ac:dyDescent="0.3">
      <c r="I236" t="s">
        <v>552</v>
      </c>
      <c r="J236" t="s">
        <v>429</v>
      </c>
    </row>
    <row r="237" spans="9:10" x14ac:dyDescent="0.3">
      <c r="I237" t="s">
        <v>1090</v>
      </c>
      <c r="J237" t="s">
        <v>795</v>
      </c>
    </row>
    <row r="238" spans="9:10" x14ac:dyDescent="0.3">
      <c r="I238" t="s">
        <v>164</v>
      </c>
      <c r="J238" t="s">
        <v>429</v>
      </c>
    </row>
    <row r="239" spans="9:10" x14ac:dyDescent="0.3">
      <c r="I239" t="s">
        <v>553</v>
      </c>
      <c r="J239" t="s">
        <v>795</v>
      </c>
    </row>
    <row r="240" spans="9:10" x14ac:dyDescent="0.3">
      <c r="I240" t="s">
        <v>969</v>
      </c>
      <c r="J240" t="s">
        <v>429</v>
      </c>
    </row>
    <row r="241" spans="9:10" x14ac:dyDescent="0.3">
      <c r="I241" t="s">
        <v>554</v>
      </c>
      <c r="J241" t="s">
        <v>795</v>
      </c>
    </row>
    <row r="242" spans="9:10" x14ac:dyDescent="0.3">
      <c r="I242" t="s">
        <v>968</v>
      </c>
      <c r="J242" t="s">
        <v>429</v>
      </c>
    </row>
    <row r="243" spans="9:10" x14ac:dyDescent="0.3">
      <c r="I243" t="s">
        <v>555</v>
      </c>
      <c r="J243" t="s">
        <v>425</v>
      </c>
    </row>
    <row r="244" spans="9:10" x14ac:dyDescent="0.3">
      <c r="I244" t="s">
        <v>556</v>
      </c>
      <c r="J244" t="s">
        <v>420</v>
      </c>
    </row>
    <row r="245" spans="9:10" x14ac:dyDescent="0.3">
      <c r="I245" t="s">
        <v>557</v>
      </c>
      <c r="J245" t="s">
        <v>420</v>
      </c>
    </row>
    <row r="246" spans="9:10" x14ac:dyDescent="0.3">
      <c r="I246" t="s">
        <v>1091</v>
      </c>
      <c r="J246" t="s">
        <v>762</v>
      </c>
    </row>
    <row r="247" spans="9:10" x14ac:dyDescent="0.3">
      <c r="I247" t="s">
        <v>558</v>
      </c>
      <c r="J247" t="s">
        <v>429</v>
      </c>
    </row>
    <row r="248" spans="9:10" x14ac:dyDescent="0.3">
      <c r="I248" t="s">
        <v>1092</v>
      </c>
      <c r="J248" t="s">
        <v>795</v>
      </c>
    </row>
    <row r="249" spans="9:10" x14ac:dyDescent="0.3">
      <c r="I249" t="s">
        <v>1093</v>
      </c>
      <c r="J249" t="s">
        <v>795</v>
      </c>
    </row>
    <row r="250" spans="9:10" x14ac:dyDescent="0.3">
      <c r="I250" t="s">
        <v>559</v>
      </c>
      <c r="J250" t="s">
        <v>420</v>
      </c>
    </row>
    <row r="251" spans="9:10" x14ac:dyDescent="0.3">
      <c r="I251" t="s">
        <v>177</v>
      </c>
      <c r="J251" t="s">
        <v>420</v>
      </c>
    </row>
    <row r="252" spans="9:10" x14ac:dyDescent="0.3">
      <c r="I252" t="s">
        <v>560</v>
      </c>
      <c r="J252" t="s">
        <v>422</v>
      </c>
    </row>
    <row r="253" spans="9:10" x14ac:dyDescent="0.3">
      <c r="I253" t="s">
        <v>1094</v>
      </c>
      <c r="J253" t="s">
        <v>795</v>
      </c>
    </row>
    <row r="254" spans="9:10" x14ac:dyDescent="0.3">
      <c r="I254" t="s">
        <v>561</v>
      </c>
      <c r="J254" t="s">
        <v>795</v>
      </c>
    </row>
    <row r="255" spans="9:10" x14ac:dyDescent="0.3">
      <c r="I255" t="s">
        <v>967</v>
      </c>
      <c r="J255" t="s">
        <v>429</v>
      </c>
    </row>
    <row r="256" spans="9:10" x14ac:dyDescent="0.3">
      <c r="I256" t="s">
        <v>562</v>
      </c>
      <c r="J256" t="s">
        <v>425</v>
      </c>
    </row>
    <row r="257" spans="9:10" x14ac:dyDescent="0.3">
      <c r="I257" t="s">
        <v>563</v>
      </c>
      <c r="J257" t="s">
        <v>795</v>
      </c>
    </row>
    <row r="258" spans="9:10" x14ac:dyDescent="0.3">
      <c r="I258" t="s">
        <v>966</v>
      </c>
      <c r="J258" t="s">
        <v>429</v>
      </c>
    </row>
    <row r="259" spans="9:10" x14ac:dyDescent="0.3">
      <c r="I259" t="s">
        <v>344</v>
      </c>
      <c r="J259" t="s">
        <v>420</v>
      </c>
    </row>
    <row r="260" spans="9:10" x14ac:dyDescent="0.3">
      <c r="I260" t="s">
        <v>564</v>
      </c>
      <c r="J260" t="s">
        <v>420</v>
      </c>
    </row>
    <row r="261" spans="9:10" x14ac:dyDescent="0.3">
      <c r="I261" t="s">
        <v>565</v>
      </c>
      <c r="J261" t="s">
        <v>795</v>
      </c>
    </row>
    <row r="262" spans="9:10" x14ac:dyDescent="0.3">
      <c r="I262" t="s">
        <v>965</v>
      </c>
      <c r="J262" t="s">
        <v>429</v>
      </c>
    </row>
    <row r="263" spans="9:10" x14ac:dyDescent="0.3">
      <c r="I263" t="s">
        <v>566</v>
      </c>
      <c r="J263" t="s">
        <v>420</v>
      </c>
    </row>
    <row r="264" spans="9:10" x14ac:dyDescent="0.3">
      <c r="I264" t="s">
        <v>1095</v>
      </c>
      <c r="J264" t="s">
        <v>795</v>
      </c>
    </row>
    <row r="265" spans="9:10" x14ac:dyDescent="0.3">
      <c r="I265" t="s">
        <v>567</v>
      </c>
      <c r="J265" t="s">
        <v>420</v>
      </c>
    </row>
    <row r="266" spans="9:10" x14ac:dyDescent="0.3">
      <c r="I266" t="s">
        <v>568</v>
      </c>
      <c r="J266" t="s">
        <v>425</v>
      </c>
    </row>
    <row r="267" spans="9:10" x14ac:dyDescent="0.3">
      <c r="I267" t="s">
        <v>569</v>
      </c>
      <c r="J267" t="s">
        <v>429</v>
      </c>
    </row>
    <row r="268" spans="9:10" x14ac:dyDescent="0.3">
      <c r="I268" t="s">
        <v>570</v>
      </c>
      <c r="J268" t="s">
        <v>425</v>
      </c>
    </row>
    <row r="269" spans="9:10" x14ac:dyDescent="0.3">
      <c r="I269" t="s">
        <v>571</v>
      </c>
      <c r="J269" t="s">
        <v>420</v>
      </c>
    </row>
    <row r="270" spans="9:10" x14ac:dyDescent="0.3">
      <c r="I270" t="s">
        <v>1096</v>
      </c>
      <c r="J270" t="s">
        <v>794</v>
      </c>
    </row>
    <row r="271" spans="9:10" x14ac:dyDescent="0.3">
      <c r="I271" t="s">
        <v>572</v>
      </c>
      <c r="J271" t="s">
        <v>420</v>
      </c>
    </row>
    <row r="272" spans="9:10" x14ac:dyDescent="0.3">
      <c r="I272" t="s">
        <v>573</v>
      </c>
      <c r="J272" t="s">
        <v>429</v>
      </c>
    </row>
    <row r="273" spans="9:10" x14ac:dyDescent="0.3">
      <c r="I273" t="s">
        <v>574</v>
      </c>
      <c r="J273" t="s">
        <v>425</v>
      </c>
    </row>
    <row r="274" spans="9:10" x14ac:dyDescent="0.3">
      <c r="I274" t="s">
        <v>575</v>
      </c>
      <c r="J274" t="s">
        <v>420</v>
      </c>
    </row>
    <row r="275" spans="9:10" x14ac:dyDescent="0.3">
      <c r="I275" t="s">
        <v>576</v>
      </c>
      <c r="J275" t="s">
        <v>425</v>
      </c>
    </row>
    <row r="276" spans="9:10" x14ac:dyDescent="0.3">
      <c r="I276" t="s">
        <v>577</v>
      </c>
      <c r="J276" t="s">
        <v>429</v>
      </c>
    </row>
    <row r="277" spans="9:10" x14ac:dyDescent="0.3">
      <c r="I277" t="s">
        <v>578</v>
      </c>
      <c r="J277" t="s">
        <v>429</v>
      </c>
    </row>
    <row r="278" spans="9:10" x14ac:dyDescent="0.3">
      <c r="I278" t="s">
        <v>1097</v>
      </c>
      <c r="J278" t="s">
        <v>795</v>
      </c>
    </row>
    <row r="279" spans="9:10" x14ac:dyDescent="0.3">
      <c r="I279" t="s">
        <v>579</v>
      </c>
      <c r="J279" t="s">
        <v>425</v>
      </c>
    </row>
    <row r="280" spans="9:10" x14ac:dyDescent="0.3">
      <c r="I280" t="s">
        <v>188</v>
      </c>
      <c r="J280" t="s">
        <v>420</v>
      </c>
    </row>
    <row r="281" spans="9:10" x14ac:dyDescent="0.3">
      <c r="I281" t="s">
        <v>580</v>
      </c>
      <c r="J281" t="s">
        <v>425</v>
      </c>
    </row>
    <row r="282" spans="9:10" x14ac:dyDescent="0.3">
      <c r="I282" t="s">
        <v>581</v>
      </c>
      <c r="J282" t="s">
        <v>429</v>
      </c>
    </row>
    <row r="283" spans="9:10" x14ac:dyDescent="0.3">
      <c r="I283" t="s">
        <v>582</v>
      </c>
      <c r="J283" t="s">
        <v>420</v>
      </c>
    </row>
    <row r="284" spans="9:10" x14ac:dyDescent="0.3">
      <c r="I284" t="s">
        <v>583</v>
      </c>
      <c r="J284" t="s">
        <v>425</v>
      </c>
    </row>
    <row r="285" spans="9:10" x14ac:dyDescent="0.3">
      <c r="I285" t="s">
        <v>584</v>
      </c>
      <c r="J285" t="s">
        <v>429</v>
      </c>
    </row>
    <row r="286" spans="9:10" x14ac:dyDescent="0.3">
      <c r="I286" t="s">
        <v>585</v>
      </c>
      <c r="J286" t="s">
        <v>420</v>
      </c>
    </row>
    <row r="287" spans="9:10" x14ac:dyDescent="0.3">
      <c r="I287" t="s">
        <v>586</v>
      </c>
      <c r="J287" t="s">
        <v>422</v>
      </c>
    </row>
    <row r="288" spans="9:10" x14ac:dyDescent="0.3">
      <c r="I288" t="s">
        <v>964</v>
      </c>
      <c r="J288" t="s">
        <v>429</v>
      </c>
    </row>
    <row r="289" spans="9:10" x14ac:dyDescent="0.3">
      <c r="I289" t="s">
        <v>587</v>
      </c>
      <c r="J289" t="s">
        <v>795</v>
      </c>
    </row>
    <row r="290" spans="9:10" x14ac:dyDescent="0.3">
      <c r="I290" t="s">
        <v>963</v>
      </c>
      <c r="J290" t="s">
        <v>429</v>
      </c>
    </row>
    <row r="291" spans="9:10" x14ac:dyDescent="0.3">
      <c r="I291" t="s">
        <v>588</v>
      </c>
      <c r="J291" t="s">
        <v>425</v>
      </c>
    </row>
    <row r="292" spans="9:10" x14ac:dyDescent="0.3">
      <c r="I292" t="s">
        <v>589</v>
      </c>
      <c r="J292" t="s">
        <v>795</v>
      </c>
    </row>
    <row r="293" spans="9:10" x14ac:dyDescent="0.3">
      <c r="I293" t="s">
        <v>962</v>
      </c>
      <c r="J293" t="s">
        <v>429</v>
      </c>
    </row>
    <row r="294" spans="9:10" x14ac:dyDescent="0.3">
      <c r="I294" t="s">
        <v>590</v>
      </c>
      <c r="J294" t="s">
        <v>420</v>
      </c>
    </row>
    <row r="295" spans="9:10" x14ac:dyDescent="0.3">
      <c r="I295" t="s">
        <v>591</v>
      </c>
      <c r="J295" t="s">
        <v>425</v>
      </c>
    </row>
    <row r="296" spans="9:10" x14ac:dyDescent="0.3">
      <c r="I296" t="s">
        <v>1098</v>
      </c>
      <c r="J296" t="s">
        <v>795</v>
      </c>
    </row>
    <row r="297" spans="9:10" x14ac:dyDescent="0.3">
      <c r="I297" t="s">
        <v>592</v>
      </c>
      <c r="J297" t="s">
        <v>420</v>
      </c>
    </row>
    <row r="298" spans="9:10" x14ac:dyDescent="0.3">
      <c r="I298" t="s">
        <v>593</v>
      </c>
      <c r="J298" t="s">
        <v>429</v>
      </c>
    </row>
    <row r="299" spans="9:10" x14ac:dyDescent="0.3">
      <c r="I299" t="s">
        <v>594</v>
      </c>
      <c r="J299" t="s">
        <v>425</v>
      </c>
    </row>
    <row r="300" spans="9:10" x14ac:dyDescent="0.3">
      <c r="I300" t="s">
        <v>595</v>
      </c>
      <c r="J300" t="s">
        <v>422</v>
      </c>
    </row>
    <row r="301" spans="9:10" x14ac:dyDescent="0.3">
      <c r="I301" t="s">
        <v>596</v>
      </c>
      <c r="J301" t="s">
        <v>795</v>
      </c>
    </row>
    <row r="302" spans="9:10" x14ac:dyDescent="0.3">
      <c r="I302" t="s">
        <v>961</v>
      </c>
      <c r="J302" t="s">
        <v>429</v>
      </c>
    </row>
    <row r="303" spans="9:10" x14ac:dyDescent="0.3">
      <c r="I303" t="s">
        <v>1099</v>
      </c>
      <c r="J303" t="s">
        <v>1100</v>
      </c>
    </row>
    <row r="304" spans="9:10" x14ac:dyDescent="0.3">
      <c r="I304" t="s">
        <v>597</v>
      </c>
      <c r="J304" t="s">
        <v>795</v>
      </c>
    </row>
    <row r="305" spans="9:10" x14ac:dyDescent="0.3">
      <c r="I305" t="s">
        <v>960</v>
      </c>
      <c r="J305" t="s">
        <v>429</v>
      </c>
    </row>
    <row r="306" spans="9:10" x14ac:dyDescent="0.3">
      <c r="I306" t="s">
        <v>598</v>
      </c>
      <c r="J306" t="s">
        <v>425</v>
      </c>
    </row>
    <row r="307" spans="9:10" x14ac:dyDescent="0.3">
      <c r="I307" t="s">
        <v>599</v>
      </c>
      <c r="J307" t="s">
        <v>420</v>
      </c>
    </row>
    <row r="308" spans="9:10" x14ac:dyDescent="0.3">
      <c r="I308" t="s">
        <v>600</v>
      </c>
      <c r="J308" t="s">
        <v>420</v>
      </c>
    </row>
    <row r="309" spans="9:10" x14ac:dyDescent="0.3">
      <c r="I309" t="s">
        <v>1101</v>
      </c>
      <c r="J309" t="s">
        <v>794</v>
      </c>
    </row>
    <row r="310" spans="9:10" x14ac:dyDescent="0.3">
      <c r="I310" t="s">
        <v>1102</v>
      </c>
      <c r="J310" t="s">
        <v>795</v>
      </c>
    </row>
    <row r="311" spans="9:10" x14ac:dyDescent="0.3">
      <c r="I311" t="s">
        <v>601</v>
      </c>
      <c r="J311" t="s">
        <v>425</v>
      </c>
    </row>
    <row r="312" spans="9:10" x14ac:dyDescent="0.3">
      <c r="I312" t="s">
        <v>602</v>
      </c>
      <c r="J312" t="s">
        <v>425</v>
      </c>
    </row>
    <row r="313" spans="9:10" x14ac:dyDescent="0.3">
      <c r="I313" t="s">
        <v>1103</v>
      </c>
      <c r="J313" t="s">
        <v>794</v>
      </c>
    </row>
    <row r="314" spans="9:10" x14ac:dyDescent="0.3">
      <c r="I314" t="s">
        <v>343</v>
      </c>
      <c r="J314" t="s">
        <v>420</v>
      </c>
    </row>
    <row r="315" spans="9:10" x14ac:dyDescent="0.3">
      <c r="I315" t="s">
        <v>321</v>
      </c>
      <c r="J315" t="s">
        <v>429</v>
      </c>
    </row>
    <row r="316" spans="9:10" x14ac:dyDescent="0.3">
      <c r="I316" t="s">
        <v>603</v>
      </c>
      <c r="J316" t="s">
        <v>420</v>
      </c>
    </row>
    <row r="317" spans="9:10" x14ac:dyDescent="0.3">
      <c r="I317" t="s">
        <v>604</v>
      </c>
      <c r="J317" t="s">
        <v>422</v>
      </c>
    </row>
    <row r="318" spans="9:10" x14ac:dyDescent="0.3">
      <c r="I318" t="s">
        <v>959</v>
      </c>
      <c r="J318" t="s">
        <v>429</v>
      </c>
    </row>
    <row r="319" spans="9:10" x14ac:dyDescent="0.3">
      <c r="I319" t="s">
        <v>1104</v>
      </c>
      <c r="J319" t="s">
        <v>794</v>
      </c>
    </row>
    <row r="320" spans="9:10" x14ac:dyDescent="0.3">
      <c r="I320" t="s">
        <v>1105</v>
      </c>
      <c r="J320" t="s">
        <v>796</v>
      </c>
    </row>
    <row r="321" spans="9:10" x14ac:dyDescent="0.3">
      <c r="I321" t="s">
        <v>605</v>
      </c>
      <c r="J321" t="s">
        <v>420</v>
      </c>
    </row>
    <row r="322" spans="9:10" x14ac:dyDescent="0.3">
      <c r="I322" t="s">
        <v>606</v>
      </c>
      <c r="J322" t="s">
        <v>420</v>
      </c>
    </row>
    <row r="323" spans="9:10" x14ac:dyDescent="0.3">
      <c r="I323" t="s">
        <v>607</v>
      </c>
      <c r="J323" t="s">
        <v>420</v>
      </c>
    </row>
    <row r="324" spans="9:10" x14ac:dyDescent="0.3">
      <c r="I324" t="s">
        <v>310</v>
      </c>
      <c r="J324" t="s">
        <v>429</v>
      </c>
    </row>
    <row r="325" spans="9:10" x14ac:dyDescent="0.3">
      <c r="I325" t="s">
        <v>608</v>
      </c>
      <c r="J325" t="s">
        <v>795</v>
      </c>
    </row>
    <row r="326" spans="9:10" x14ac:dyDescent="0.3">
      <c r="I326" t="s">
        <v>958</v>
      </c>
      <c r="J326" t="s">
        <v>429</v>
      </c>
    </row>
    <row r="327" spans="9:10" x14ac:dyDescent="0.3">
      <c r="I327" t="s">
        <v>332</v>
      </c>
      <c r="J327" t="s">
        <v>795</v>
      </c>
    </row>
    <row r="328" spans="9:10" x14ac:dyDescent="0.3">
      <c r="I328" t="s">
        <v>957</v>
      </c>
      <c r="J328" t="s">
        <v>429</v>
      </c>
    </row>
    <row r="329" spans="9:10" x14ac:dyDescent="0.3">
      <c r="I329" t="s">
        <v>609</v>
      </c>
      <c r="J329" t="s">
        <v>795</v>
      </c>
    </row>
    <row r="330" spans="9:10" x14ac:dyDescent="0.3">
      <c r="I330" t="s">
        <v>956</v>
      </c>
      <c r="J330" t="s">
        <v>429</v>
      </c>
    </row>
    <row r="331" spans="9:10" x14ac:dyDescent="0.3">
      <c r="I331" t="s">
        <v>610</v>
      </c>
      <c r="J331" t="s">
        <v>420</v>
      </c>
    </row>
    <row r="332" spans="9:10" x14ac:dyDescent="0.3">
      <c r="I332" t="s">
        <v>611</v>
      </c>
      <c r="J332" t="s">
        <v>429</v>
      </c>
    </row>
    <row r="333" spans="9:10" x14ac:dyDescent="0.3">
      <c r="I333" t="s">
        <v>612</v>
      </c>
      <c r="J333" t="s">
        <v>795</v>
      </c>
    </row>
    <row r="334" spans="9:10" x14ac:dyDescent="0.3">
      <c r="I334" t="s">
        <v>955</v>
      </c>
      <c r="J334" t="s">
        <v>429</v>
      </c>
    </row>
    <row r="335" spans="9:10" x14ac:dyDescent="0.3">
      <c r="I335" t="s">
        <v>372</v>
      </c>
      <c r="J335" t="s">
        <v>425</v>
      </c>
    </row>
    <row r="336" spans="9:10" x14ac:dyDescent="0.3">
      <c r="I336" t="s">
        <v>613</v>
      </c>
      <c r="J336" t="s">
        <v>425</v>
      </c>
    </row>
    <row r="337" spans="9:10" x14ac:dyDescent="0.3">
      <c r="I337" t="s">
        <v>954</v>
      </c>
      <c r="J337" t="s">
        <v>429</v>
      </c>
    </row>
    <row r="338" spans="9:10" x14ac:dyDescent="0.3">
      <c r="I338" t="s">
        <v>614</v>
      </c>
      <c r="J338" t="s">
        <v>429</v>
      </c>
    </row>
    <row r="339" spans="9:10" x14ac:dyDescent="0.3">
      <c r="I339" t="s">
        <v>615</v>
      </c>
      <c r="J339" t="s">
        <v>429</v>
      </c>
    </row>
    <row r="340" spans="9:10" x14ac:dyDescent="0.3">
      <c r="I340" t="s">
        <v>1106</v>
      </c>
      <c r="J340" t="s">
        <v>795</v>
      </c>
    </row>
    <row r="341" spans="9:10" x14ac:dyDescent="0.3">
      <c r="I341" t="s">
        <v>1107</v>
      </c>
      <c r="J341" t="s">
        <v>795</v>
      </c>
    </row>
    <row r="342" spans="9:10" x14ac:dyDescent="0.3">
      <c r="I342" t="s">
        <v>616</v>
      </c>
      <c r="J342" t="s">
        <v>420</v>
      </c>
    </row>
    <row r="343" spans="9:10" x14ac:dyDescent="0.3">
      <c r="I343" t="s">
        <v>617</v>
      </c>
      <c r="J343" t="s">
        <v>420</v>
      </c>
    </row>
    <row r="344" spans="9:10" x14ac:dyDescent="0.3">
      <c r="I344" t="s">
        <v>618</v>
      </c>
      <c r="J344" t="s">
        <v>429</v>
      </c>
    </row>
    <row r="345" spans="9:10" x14ac:dyDescent="0.3">
      <c r="I345" t="s">
        <v>1108</v>
      </c>
      <c r="J345" t="s">
        <v>794</v>
      </c>
    </row>
    <row r="346" spans="9:10" x14ac:dyDescent="0.3">
      <c r="I346" t="s">
        <v>619</v>
      </c>
      <c r="J346" t="s">
        <v>422</v>
      </c>
    </row>
    <row r="347" spans="9:10" x14ac:dyDescent="0.3">
      <c r="I347" t="s">
        <v>953</v>
      </c>
      <c r="J347" t="s">
        <v>429</v>
      </c>
    </row>
    <row r="348" spans="9:10" x14ac:dyDescent="0.3">
      <c r="I348" t="s">
        <v>620</v>
      </c>
      <c r="J348" t="s">
        <v>422</v>
      </c>
    </row>
    <row r="349" spans="9:10" x14ac:dyDescent="0.3">
      <c r="I349" t="s">
        <v>621</v>
      </c>
      <c r="J349" t="s">
        <v>420</v>
      </c>
    </row>
    <row r="350" spans="9:10" x14ac:dyDescent="0.3">
      <c r="I350" t="s">
        <v>622</v>
      </c>
      <c r="J350" t="s">
        <v>422</v>
      </c>
    </row>
    <row r="351" spans="9:10" x14ac:dyDescent="0.3">
      <c r="I351" t="s">
        <v>952</v>
      </c>
      <c r="J351" t="s">
        <v>429</v>
      </c>
    </row>
    <row r="352" spans="9:10" x14ac:dyDescent="0.3">
      <c r="I352" t="s">
        <v>623</v>
      </c>
      <c r="J352" t="s">
        <v>429</v>
      </c>
    </row>
    <row r="353" spans="9:10" x14ac:dyDescent="0.3">
      <c r="I353" t="s">
        <v>624</v>
      </c>
      <c r="J353" t="s">
        <v>429</v>
      </c>
    </row>
    <row r="354" spans="9:10" x14ac:dyDescent="0.3">
      <c r="I354" t="s">
        <v>1109</v>
      </c>
      <c r="J354" t="s">
        <v>795</v>
      </c>
    </row>
    <row r="355" spans="9:10" x14ac:dyDescent="0.3">
      <c r="I355" t="s">
        <v>625</v>
      </c>
      <c r="J355" t="s">
        <v>795</v>
      </c>
    </row>
    <row r="356" spans="9:10" x14ac:dyDescent="0.3">
      <c r="I356" t="s">
        <v>951</v>
      </c>
      <c r="J356" t="s">
        <v>429</v>
      </c>
    </row>
    <row r="357" spans="9:10" x14ac:dyDescent="0.3">
      <c r="I357" t="s">
        <v>1110</v>
      </c>
      <c r="J357" t="s">
        <v>762</v>
      </c>
    </row>
    <row r="358" spans="9:10" x14ac:dyDescent="0.3">
      <c r="I358" t="s">
        <v>626</v>
      </c>
      <c r="J358" t="s">
        <v>429</v>
      </c>
    </row>
    <row r="359" spans="9:10" x14ac:dyDescent="0.3">
      <c r="I359" t="s">
        <v>627</v>
      </c>
      <c r="J359" t="s">
        <v>795</v>
      </c>
    </row>
    <row r="360" spans="9:10" x14ac:dyDescent="0.3">
      <c r="I360" t="s">
        <v>950</v>
      </c>
      <c r="J360" t="s">
        <v>429</v>
      </c>
    </row>
    <row r="361" spans="9:10" x14ac:dyDescent="0.3">
      <c r="I361" t="s">
        <v>628</v>
      </c>
      <c r="J361" t="s">
        <v>425</v>
      </c>
    </row>
    <row r="362" spans="9:10" x14ac:dyDescent="0.3">
      <c r="I362" t="s">
        <v>1111</v>
      </c>
      <c r="J362" t="s">
        <v>795</v>
      </c>
    </row>
    <row r="363" spans="9:10" x14ac:dyDescent="0.3">
      <c r="I363" t="s">
        <v>629</v>
      </c>
      <c r="J363" t="s">
        <v>420</v>
      </c>
    </row>
    <row r="364" spans="9:10" x14ac:dyDescent="0.3">
      <c r="I364" t="s">
        <v>630</v>
      </c>
      <c r="J364" t="s">
        <v>422</v>
      </c>
    </row>
    <row r="365" spans="9:10" x14ac:dyDescent="0.3">
      <c r="I365" t="s">
        <v>631</v>
      </c>
      <c r="J365" t="s">
        <v>420</v>
      </c>
    </row>
    <row r="366" spans="9:10" x14ac:dyDescent="0.3">
      <c r="I366" t="s">
        <v>632</v>
      </c>
      <c r="J366" t="s">
        <v>420</v>
      </c>
    </row>
    <row r="367" spans="9:10" x14ac:dyDescent="0.3">
      <c r="I367" t="s">
        <v>633</v>
      </c>
      <c r="J367" t="s">
        <v>425</v>
      </c>
    </row>
    <row r="368" spans="9:10" x14ac:dyDescent="0.3">
      <c r="I368" t="s">
        <v>949</v>
      </c>
      <c r="J368" t="s">
        <v>429</v>
      </c>
    </row>
    <row r="369" spans="9:10" x14ac:dyDescent="0.3">
      <c r="I369" t="s">
        <v>1112</v>
      </c>
      <c r="J369" t="s">
        <v>762</v>
      </c>
    </row>
    <row r="370" spans="9:10" x14ac:dyDescent="0.3">
      <c r="I370" t="s">
        <v>634</v>
      </c>
      <c r="J370" t="s">
        <v>425</v>
      </c>
    </row>
    <row r="371" spans="9:10" x14ac:dyDescent="0.3">
      <c r="I371" t="s">
        <v>948</v>
      </c>
      <c r="J371" t="s">
        <v>429</v>
      </c>
    </row>
    <row r="372" spans="9:10" x14ac:dyDescent="0.3">
      <c r="I372" t="s">
        <v>1113</v>
      </c>
      <c r="J372" t="s">
        <v>794</v>
      </c>
    </row>
    <row r="373" spans="9:10" x14ac:dyDescent="0.3">
      <c r="I373" t="s">
        <v>1114</v>
      </c>
      <c r="J373" t="s">
        <v>794</v>
      </c>
    </row>
    <row r="374" spans="9:10" x14ac:dyDescent="0.3">
      <c r="I374" t="s">
        <v>635</v>
      </c>
      <c r="J374" t="s">
        <v>420</v>
      </c>
    </row>
    <row r="375" spans="9:10" x14ac:dyDescent="0.3">
      <c r="I375" t="s">
        <v>636</v>
      </c>
      <c r="J375" t="s">
        <v>420</v>
      </c>
    </row>
    <row r="376" spans="9:10" x14ac:dyDescent="0.3">
      <c r="I376" t="s">
        <v>637</v>
      </c>
      <c r="J376" t="s">
        <v>795</v>
      </c>
    </row>
    <row r="377" spans="9:10" x14ac:dyDescent="0.3">
      <c r="I377" t="s">
        <v>947</v>
      </c>
      <c r="J377" t="s">
        <v>429</v>
      </c>
    </row>
    <row r="378" spans="9:10" x14ac:dyDescent="0.3">
      <c r="I378" t="s">
        <v>1115</v>
      </c>
      <c r="J378" t="s">
        <v>796</v>
      </c>
    </row>
    <row r="379" spans="9:10" x14ac:dyDescent="0.3">
      <c r="I379" t="s">
        <v>1116</v>
      </c>
      <c r="J379" t="s">
        <v>794</v>
      </c>
    </row>
    <row r="380" spans="9:10" x14ac:dyDescent="0.3">
      <c r="I380" t="s">
        <v>1117</v>
      </c>
      <c r="J380" t="s">
        <v>795</v>
      </c>
    </row>
    <row r="381" spans="9:10" x14ac:dyDescent="0.3">
      <c r="I381" t="s">
        <v>1118</v>
      </c>
      <c r="J381" t="s">
        <v>795</v>
      </c>
    </row>
    <row r="382" spans="9:10" x14ac:dyDescent="0.3">
      <c r="I382" t="s">
        <v>638</v>
      </c>
      <c r="J382" t="s">
        <v>420</v>
      </c>
    </row>
    <row r="383" spans="9:10" x14ac:dyDescent="0.3">
      <c r="I383" t="s">
        <v>639</v>
      </c>
      <c r="J383" t="s">
        <v>429</v>
      </c>
    </row>
    <row r="384" spans="9:10" x14ac:dyDescent="0.3">
      <c r="I384" t="s">
        <v>640</v>
      </c>
      <c r="J384" t="s">
        <v>420</v>
      </c>
    </row>
    <row r="385" spans="9:10" x14ac:dyDescent="0.3">
      <c r="I385" t="s">
        <v>641</v>
      </c>
      <c r="J385" t="s">
        <v>420</v>
      </c>
    </row>
    <row r="386" spans="9:10" x14ac:dyDescent="0.3">
      <c r="I386" t="s">
        <v>642</v>
      </c>
      <c r="J386" t="s">
        <v>425</v>
      </c>
    </row>
    <row r="387" spans="9:10" x14ac:dyDescent="0.3">
      <c r="I387" t="s">
        <v>643</v>
      </c>
      <c r="J387" t="s">
        <v>425</v>
      </c>
    </row>
    <row r="388" spans="9:10" x14ac:dyDescent="0.3">
      <c r="I388" t="s">
        <v>644</v>
      </c>
      <c r="J388" t="s">
        <v>420</v>
      </c>
    </row>
    <row r="389" spans="9:10" x14ac:dyDescent="0.3">
      <c r="I389" t="s">
        <v>645</v>
      </c>
      <c r="J389" t="s">
        <v>420</v>
      </c>
    </row>
    <row r="390" spans="9:10" x14ac:dyDescent="0.3">
      <c r="I390" t="s">
        <v>1119</v>
      </c>
      <c r="J390" t="s">
        <v>795</v>
      </c>
    </row>
    <row r="391" spans="9:10" x14ac:dyDescent="0.3">
      <c r="I391" t="s">
        <v>646</v>
      </c>
      <c r="J391" t="s">
        <v>429</v>
      </c>
    </row>
    <row r="392" spans="9:10" x14ac:dyDescent="0.3">
      <c r="I392" t="s">
        <v>647</v>
      </c>
      <c r="J392" t="s">
        <v>420</v>
      </c>
    </row>
    <row r="393" spans="9:10" x14ac:dyDescent="0.3">
      <c r="I393" t="s">
        <v>1120</v>
      </c>
      <c r="J393" t="s">
        <v>794</v>
      </c>
    </row>
    <row r="394" spans="9:10" x14ac:dyDescent="0.3">
      <c r="I394" t="s">
        <v>1121</v>
      </c>
      <c r="J394" t="s">
        <v>795</v>
      </c>
    </row>
    <row r="395" spans="9:10" x14ac:dyDescent="0.3">
      <c r="I395" t="s">
        <v>1122</v>
      </c>
      <c r="J395" t="s">
        <v>795</v>
      </c>
    </row>
    <row r="396" spans="9:10" x14ac:dyDescent="0.3">
      <c r="I396" t="s">
        <v>1123</v>
      </c>
      <c r="J396" t="s">
        <v>794</v>
      </c>
    </row>
    <row r="397" spans="9:10" x14ac:dyDescent="0.3">
      <c r="I397" t="s">
        <v>648</v>
      </c>
      <c r="J397" t="s">
        <v>420</v>
      </c>
    </row>
    <row r="398" spans="9:10" x14ac:dyDescent="0.3">
      <c r="I398" t="s">
        <v>649</v>
      </c>
      <c r="J398" t="s">
        <v>425</v>
      </c>
    </row>
    <row r="399" spans="9:10" x14ac:dyDescent="0.3">
      <c r="I399" t="s">
        <v>650</v>
      </c>
      <c r="J399" t="s">
        <v>420</v>
      </c>
    </row>
    <row r="400" spans="9:10" x14ac:dyDescent="0.3">
      <c r="I400" t="s">
        <v>651</v>
      </c>
      <c r="J400" t="s">
        <v>420</v>
      </c>
    </row>
    <row r="401" spans="9:10" x14ac:dyDescent="0.3">
      <c r="I401" t="s">
        <v>1124</v>
      </c>
      <c r="J401" t="s">
        <v>795</v>
      </c>
    </row>
    <row r="402" spans="9:10" x14ac:dyDescent="0.3">
      <c r="I402" t="s">
        <v>1125</v>
      </c>
      <c r="J402" t="s">
        <v>795</v>
      </c>
    </row>
    <row r="403" spans="9:10" x14ac:dyDescent="0.3">
      <c r="I403" t="s">
        <v>652</v>
      </c>
      <c r="J403" t="s">
        <v>795</v>
      </c>
    </row>
    <row r="404" spans="9:10" x14ac:dyDescent="0.3">
      <c r="I404" t="s">
        <v>946</v>
      </c>
      <c r="J404" t="s">
        <v>429</v>
      </c>
    </row>
    <row r="405" spans="9:10" x14ac:dyDescent="0.3">
      <c r="I405" t="s">
        <v>653</v>
      </c>
      <c r="J405" t="s">
        <v>420</v>
      </c>
    </row>
    <row r="406" spans="9:10" x14ac:dyDescent="0.3">
      <c r="I406" t="s">
        <v>654</v>
      </c>
      <c r="J406" t="s">
        <v>420</v>
      </c>
    </row>
    <row r="407" spans="9:10" x14ac:dyDescent="0.3">
      <c r="I407" t="s">
        <v>1126</v>
      </c>
      <c r="J407" t="s">
        <v>795</v>
      </c>
    </row>
    <row r="408" spans="9:10" x14ac:dyDescent="0.3">
      <c r="I408" t="s">
        <v>655</v>
      </c>
      <c r="J408" t="s">
        <v>420</v>
      </c>
    </row>
    <row r="409" spans="9:10" x14ac:dyDescent="0.3">
      <c r="I409" t="s">
        <v>1127</v>
      </c>
      <c r="J409" t="s">
        <v>796</v>
      </c>
    </row>
    <row r="410" spans="9:10" x14ac:dyDescent="0.3">
      <c r="I410" t="s">
        <v>1128</v>
      </c>
      <c r="J410" t="s">
        <v>796</v>
      </c>
    </row>
    <row r="411" spans="9:10" x14ac:dyDescent="0.3">
      <c r="I411" t="s">
        <v>1129</v>
      </c>
      <c r="J411" t="s">
        <v>794</v>
      </c>
    </row>
    <row r="412" spans="9:10" x14ac:dyDescent="0.3">
      <c r="I412" t="s">
        <v>1129</v>
      </c>
      <c r="J412" t="s">
        <v>762</v>
      </c>
    </row>
    <row r="413" spans="9:10" x14ac:dyDescent="0.3">
      <c r="I413" t="s">
        <v>656</v>
      </c>
      <c r="J413" t="s">
        <v>425</v>
      </c>
    </row>
    <row r="414" spans="9:10" x14ac:dyDescent="0.3">
      <c r="I414" t="s">
        <v>1130</v>
      </c>
      <c r="J414" t="s">
        <v>794</v>
      </c>
    </row>
    <row r="415" spans="9:10" x14ac:dyDescent="0.3">
      <c r="I415" t="s">
        <v>657</v>
      </c>
      <c r="J415" t="s">
        <v>422</v>
      </c>
    </row>
    <row r="416" spans="9:10" x14ac:dyDescent="0.3">
      <c r="I416" t="s">
        <v>658</v>
      </c>
      <c r="J416" t="s">
        <v>420</v>
      </c>
    </row>
    <row r="417" spans="9:10" x14ac:dyDescent="0.3">
      <c r="I417" t="s">
        <v>1131</v>
      </c>
      <c r="J417" t="s">
        <v>795</v>
      </c>
    </row>
    <row r="418" spans="9:10" x14ac:dyDescent="0.3">
      <c r="I418" t="s">
        <v>659</v>
      </c>
      <c r="J418" t="s">
        <v>420</v>
      </c>
    </row>
    <row r="419" spans="9:10" x14ac:dyDescent="0.3">
      <c r="I419" t="s">
        <v>660</v>
      </c>
      <c r="J419" t="s">
        <v>425</v>
      </c>
    </row>
    <row r="420" spans="9:10" x14ac:dyDescent="0.3">
      <c r="I420" t="s">
        <v>1132</v>
      </c>
      <c r="J420" t="s">
        <v>795</v>
      </c>
    </row>
    <row r="421" spans="9:10" x14ac:dyDescent="0.3">
      <c r="I421" t="s">
        <v>1133</v>
      </c>
      <c r="J421" t="s">
        <v>795</v>
      </c>
    </row>
    <row r="422" spans="9:10" x14ac:dyDescent="0.3">
      <c r="I422" t="s">
        <v>661</v>
      </c>
      <c r="J422" t="s">
        <v>420</v>
      </c>
    </row>
    <row r="423" spans="9:10" x14ac:dyDescent="0.3">
      <c r="I423" t="s">
        <v>662</v>
      </c>
      <c r="J423" t="s">
        <v>420</v>
      </c>
    </row>
    <row r="424" spans="9:10" x14ac:dyDescent="0.3">
      <c r="I424" t="s">
        <v>663</v>
      </c>
      <c r="J424" t="s">
        <v>420</v>
      </c>
    </row>
    <row r="425" spans="9:10" x14ac:dyDescent="0.3">
      <c r="I425" t="s">
        <v>1134</v>
      </c>
      <c r="J425" t="s">
        <v>794</v>
      </c>
    </row>
    <row r="426" spans="9:10" x14ac:dyDescent="0.3">
      <c r="I426" t="s">
        <v>664</v>
      </c>
      <c r="J426" t="s">
        <v>429</v>
      </c>
    </row>
    <row r="427" spans="9:10" x14ac:dyDescent="0.3">
      <c r="I427" t="s">
        <v>665</v>
      </c>
      <c r="J427" t="s">
        <v>420</v>
      </c>
    </row>
    <row r="428" spans="9:10" x14ac:dyDescent="0.3">
      <c r="I428" t="s">
        <v>666</v>
      </c>
      <c r="J428" t="s">
        <v>795</v>
      </c>
    </row>
    <row r="429" spans="9:10" x14ac:dyDescent="0.3">
      <c r="I429" t="s">
        <v>945</v>
      </c>
      <c r="J429" t="s">
        <v>429</v>
      </c>
    </row>
    <row r="430" spans="9:10" x14ac:dyDescent="0.3">
      <c r="I430" t="s">
        <v>667</v>
      </c>
      <c r="J430" t="s">
        <v>425</v>
      </c>
    </row>
    <row r="431" spans="9:10" x14ac:dyDescent="0.3">
      <c r="I431" t="s">
        <v>1135</v>
      </c>
      <c r="J431" t="s">
        <v>795</v>
      </c>
    </row>
    <row r="432" spans="9:10" x14ac:dyDescent="0.3">
      <c r="I432" t="s">
        <v>1135</v>
      </c>
      <c r="J432" t="s">
        <v>762</v>
      </c>
    </row>
    <row r="433" spans="9:10" x14ac:dyDescent="0.3">
      <c r="I433" t="s">
        <v>1136</v>
      </c>
      <c r="J433" t="s">
        <v>795</v>
      </c>
    </row>
    <row r="434" spans="9:10" x14ac:dyDescent="0.3">
      <c r="I434" t="s">
        <v>1137</v>
      </c>
      <c r="J434" t="s">
        <v>795</v>
      </c>
    </row>
    <row r="435" spans="9:10" x14ac:dyDescent="0.3">
      <c r="I435" t="s">
        <v>668</v>
      </c>
      <c r="J435" t="s">
        <v>422</v>
      </c>
    </row>
    <row r="436" spans="9:10" x14ac:dyDescent="0.3">
      <c r="I436" t="s">
        <v>1138</v>
      </c>
      <c r="J436" t="s">
        <v>796</v>
      </c>
    </row>
    <row r="437" spans="9:10" x14ac:dyDescent="0.3">
      <c r="I437" t="s">
        <v>1139</v>
      </c>
      <c r="J437" t="s">
        <v>794</v>
      </c>
    </row>
    <row r="438" spans="9:10" x14ac:dyDescent="0.3">
      <c r="I438" t="s">
        <v>669</v>
      </c>
      <c r="J438" t="s">
        <v>425</v>
      </c>
    </row>
    <row r="439" spans="9:10" x14ac:dyDescent="0.3">
      <c r="I439" t="s">
        <v>1140</v>
      </c>
      <c r="J439" t="s">
        <v>795</v>
      </c>
    </row>
    <row r="440" spans="9:10" x14ac:dyDescent="0.3">
      <c r="I440" t="s">
        <v>670</v>
      </c>
      <c r="J440" t="s">
        <v>422</v>
      </c>
    </row>
    <row r="441" spans="9:10" x14ac:dyDescent="0.3">
      <c r="I441" t="s">
        <v>1141</v>
      </c>
      <c r="J441" t="s">
        <v>794</v>
      </c>
    </row>
    <row r="442" spans="9:10" x14ac:dyDescent="0.3">
      <c r="I442" t="s">
        <v>1142</v>
      </c>
      <c r="J442" t="s">
        <v>795</v>
      </c>
    </row>
    <row r="443" spans="9:10" x14ac:dyDescent="0.3">
      <c r="I443" t="s">
        <v>1143</v>
      </c>
      <c r="J443" t="s">
        <v>795</v>
      </c>
    </row>
    <row r="444" spans="9:10" x14ac:dyDescent="0.3">
      <c r="I444" t="s">
        <v>1144</v>
      </c>
      <c r="J444" t="s">
        <v>796</v>
      </c>
    </row>
    <row r="445" spans="9:10" x14ac:dyDescent="0.3">
      <c r="I445" t="s">
        <v>1145</v>
      </c>
      <c r="J445" t="s">
        <v>795</v>
      </c>
    </row>
    <row r="446" spans="9:10" x14ac:dyDescent="0.3">
      <c r="I446" t="s">
        <v>671</v>
      </c>
      <c r="J446" t="s">
        <v>420</v>
      </c>
    </row>
    <row r="447" spans="9:10" x14ac:dyDescent="0.3">
      <c r="I447" t="s">
        <v>672</v>
      </c>
      <c r="J447" t="s">
        <v>422</v>
      </c>
    </row>
    <row r="448" spans="9:10" x14ac:dyDescent="0.3">
      <c r="I448" t="s">
        <v>673</v>
      </c>
      <c r="J448" t="s">
        <v>425</v>
      </c>
    </row>
    <row r="449" spans="9:10" x14ac:dyDescent="0.3">
      <c r="I449" t="s">
        <v>674</v>
      </c>
      <c r="J449" t="s">
        <v>425</v>
      </c>
    </row>
    <row r="450" spans="9:10" x14ac:dyDescent="0.3">
      <c r="I450" t="s">
        <v>675</v>
      </c>
      <c r="J450" t="s">
        <v>425</v>
      </c>
    </row>
    <row r="451" spans="9:10" x14ac:dyDescent="0.3">
      <c r="I451" t="s">
        <v>270</v>
      </c>
      <c r="J451" t="s">
        <v>420</v>
      </c>
    </row>
    <row r="452" spans="9:10" x14ac:dyDescent="0.3">
      <c r="I452" t="s">
        <v>676</v>
      </c>
      <c r="J452" t="s">
        <v>422</v>
      </c>
    </row>
    <row r="453" spans="9:10" x14ac:dyDescent="0.3">
      <c r="I453" t="s">
        <v>677</v>
      </c>
      <c r="J453" t="s">
        <v>425</v>
      </c>
    </row>
    <row r="454" spans="9:10" x14ac:dyDescent="0.3">
      <c r="I454" t="s">
        <v>944</v>
      </c>
      <c r="J454" t="s">
        <v>429</v>
      </c>
    </row>
    <row r="455" spans="9:10" x14ac:dyDescent="0.3">
      <c r="I455" t="s">
        <v>303</v>
      </c>
      <c r="J455" t="s">
        <v>429</v>
      </c>
    </row>
    <row r="456" spans="9:10" x14ac:dyDescent="0.3">
      <c r="I456" t="s">
        <v>678</v>
      </c>
      <c r="J456" t="s">
        <v>422</v>
      </c>
    </row>
    <row r="457" spans="9:10" x14ac:dyDescent="0.3">
      <c r="I457" t="s">
        <v>1146</v>
      </c>
      <c r="J457" t="s">
        <v>795</v>
      </c>
    </row>
    <row r="458" spans="9:10" x14ac:dyDescent="0.3">
      <c r="I458" t="s">
        <v>679</v>
      </c>
      <c r="J458" t="s">
        <v>422</v>
      </c>
    </row>
    <row r="459" spans="9:10" x14ac:dyDescent="0.3">
      <c r="I459" t="s">
        <v>680</v>
      </c>
      <c r="J459" t="s">
        <v>420</v>
      </c>
    </row>
    <row r="460" spans="9:10" x14ac:dyDescent="0.3">
      <c r="I460" t="s">
        <v>943</v>
      </c>
      <c r="J460" t="s">
        <v>429</v>
      </c>
    </row>
    <row r="461" spans="9:10" x14ac:dyDescent="0.3">
      <c r="I461" t="s">
        <v>1147</v>
      </c>
      <c r="J461" t="s">
        <v>795</v>
      </c>
    </row>
    <row r="462" spans="9:10" x14ac:dyDescent="0.3">
      <c r="I462" t="s">
        <v>681</v>
      </c>
      <c r="J462" t="s">
        <v>420</v>
      </c>
    </row>
    <row r="463" spans="9:10" x14ac:dyDescent="0.3">
      <c r="I463" t="s">
        <v>1148</v>
      </c>
      <c r="J463" t="s">
        <v>795</v>
      </c>
    </row>
    <row r="464" spans="9:10" x14ac:dyDescent="0.3">
      <c r="I464" t="s">
        <v>682</v>
      </c>
      <c r="J464" t="s">
        <v>420</v>
      </c>
    </row>
    <row r="465" spans="9:10" x14ac:dyDescent="0.3">
      <c r="I465" t="s">
        <v>683</v>
      </c>
      <c r="J465" t="s">
        <v>420</v>
      </c>
    </row>
    <row r="466" spans="9:10" x14ac:dyDescent="0.3">
      <c r="I466" t="s">
        <v>683</v>
      </c>
      <c r="J466" t="s">
        <v>429</v>
      </c>
    </row>
    <row r="467" spans="9:10" x14ac:dyDescent="0.3">
      <c r="I467" t="s">
        <v>684</v>
      </c>
      <c r="J467" t="s">
        <v>429</v>
      </c>
    </row>
    <row r="468" spans="9:10" x14ac:dyDescent="0.3">
      <c r="I468" t="s">
        <v>1149</v>
      </c>
      <c r="J468" t="s">
        <v>795</v>
      </c>
    </row>
    <row r="469" spans="9:10" x14ac:dyDescent="0.3">
      <c r="I469" t="s">
        <v>1149</v>
      </c>
      <c r="J469" t="s">
        <v>762</v>
      </c>
    </row>
    <row r="470" spans="9:10" x14ac:dyDescent="0.3">
      <c r="I470" t="s">
        <v>685</v>
      </c>
      <c r="J470" t="s">
        <v>420</v>
      </c>
    </row>
    <row r="471" spans="9:10" x14ac:dyDescent="0.3">
      <c r="I471" t="s">
        <v>686</v>
      </c>
      <c r="J471" t="s">
        <v>429</v>
      </c>
    </row>
    <row r="472" spans="9:10" x14ac:dyDescent="0.3">
      <c r="I472" t="s">
        <v>1150</v>
      </c>
      <c r="J472" t="s">
        <v>795</v>
      </c>
    </row>
    <row r="473" spans="9:10" x14ac:dyDescent="0.3">
      <c r="I473" t="s">
        <v>1151</v>
      </c>
      <c r="J473" t="s">
        <v>795</v>
      </c>
    </row>
    <row r="474" spans="9:10" x14ac:dyDescent="0.3">
      <c r="I474" t="s">
        <v>687</v>
      </c>
      <c r="J474" t="s">
        <v>420</v>
      </c>
    </row>
    <row r="475" spans="9:10" x14ac:dyDescent="0.3">
      <c r="I475" t="s">
        <v>688</v>
      </c>
      <c r="J475" t="s">
        <v>429</v>
      </c>
    </row>
    <row r="476" spans="9:10" x14ac:dyDescent="0.3">
      <c r="I476" t="s">
        <v>360</v>
      </c>
      <c r="J476" t="s">
        <v>429</v>
      </c>
    </row>
    <row r="477" spans="9:10" x14ac:dyDescent="0.3">
      <c r="I477" t="s">
        <v>689</v>
      </c>
      <c r="J477" t="s">
        <v>425</v>
      </c>
    </row>
    <row r="478" spans="9:10" x14ac:dyDescent="0.3">
      <c r="I478" t="s">
        <v>690</v>
      </c>
      <c r="J478" t="s">
        <v>425</v>
      </c>
    </row>
    <row r="479" spans="9:10" x14ac:dyDescent="0.3">
      <c r="I479" t="s">
        <v>691</v>
      </c>
      <c r="J479" t="s">
        <v>420</v>
      </c>
    </row>
    <row r="480" spans="9:10" x14ac:dyDescent="0.3">
      <c r="I480" t="s">
        <v>942</v>
      </c>
      <c r="J480" t="s">
        <v>429</v>
      </c>
    </row>
    <row r="481" spans="9:10" x14ac:dyDescent="0.3">
      <c r="I481" t="s">
        <v>692</v>
      </c>
      <c r="J481" t="s">
        <v>420</v>
      </c>
    </row>
    <row r="482" spans="9:10" x14ac:dyDescent="0.3">
      <c r="I482" t="s">
        <v>693</v>
      </c>
      <c r="J482" t="s">
        <v>429</v>
      </c>
    </row>
    <row r="483" spans="9:10" x14ac:dyDescent="0.3">
      <c r="I483" t="s">
        <v>694</v>
      </c>
      <c r="J483" t="s">
        <v>425</v>
      </c>
    </row>
    <row r="484" spans="9:10" x14ac:dyDescent="0.3">
      <c r="I484" t="s">
        <v>695</v>
      </c>
      <c r="J484" t="s">
        <v>425</v>
      </c>
    </row>
    <row r="485" spans="9:10" x14ac:dyDescent="0.3">
      <c r="I485" t="s">
        <v>696</v>
      </c>
      <c r="J485" t="s">
        <v>420</v>
      </c>
    </row>
    <row r="486" spans="9:10" x14ac:dyDescent="0.3">
      <c r="I486" t="s">
        <v>941</v>
      </c>
      <c r="J486" t="s">
        <v>429</v>
      </c>
    </row>
    <row r="487" spans="9:10" x14ac:dyDescent="0.3">
      <c r="I487" t="s">
        <v>697</v>
      </c>
      <c r="J487" t="s">
        <v>429</v>
      </c>
    </row>
    <row r="488" spans="9:10" x14ac:dyDescent="0.3">
      <c r="I488" t="s">
        <v>698</v>
      </c>
      <c r="J488" t="s">
        <v>425</v>
      </c>
    </row>
    <row r="489" spans="9:10" x14ac:dyDescent="0.3">
      <c r="I489" t="s">
        <v>699</v>
      </c>
      <c r="J489" t="s">
        <v>425</v>
      </c>
    </row>
    <row r="490" spans="9:10" x14ac:dyDescent="0.3">
      <c r="I490" t="s">
        <v>940</v>
      </c>
      <c r="J490" t="s">
        <v>429</v>
      </c>
    </row>
    <row r="491" spans="9:10" x14ac:dyDescent="0.3">
      <c r="I491" t="s">
        <v>1152</v>
      </c>
      <c r="J491" t="s">
        <v>796</v>
      </c>
    </row>
    <row r="492" spans="9:10" x14ac:dyDescent="0.3">
      <c r="I492" t="s">
        <v>700</v>
      </c>
      <c r="J492" t="s">
        <v>425</v>
      </c>
    </row>
  </sheetData>
  <sortState xmlns:xlrd2="http://schemas.microsoft.com/office/spreadsheetml/2017/richdata2" ref="D2:D17">
    <sortCondition ref="D2"/>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dimension ref="B1:AA486"/>
  <sheetViews>
    <sheetView topLeftCell="A127" workbookViewId="0">
      <selection activeCell="D26" sqref="D26"/>
    </sheetView>
  </sheetViews>
  <sheetFormatPr defaultRowHeight="14.4" x14ac:dyDescent="0.3"/>
  <cols>
    <col min="2" max="2" width="20.33203125" customWidth="1"/>
    <col min="3" max="3" width="11.5546875" customWidth="1"/>
  </cols>
  <sheetData>
    <row r="1" spans="2:27" x14ac:dyDescent="0.3">
      <c r="C1" t="s">
        <v>728</v>
      </c>
      <c r="D1" t="s">
        <v>729</v>
      </c>
      <c r="E1" t="s">
        <v>730</v>
      </c>
      <c r="F1" t="s">
        <v>731</v>
      </c>
      <c r="G1" t="s">
        <v>740</v>
      </c>
      <c r="H1" t="s">
        <v>732</v>
      </c>
      <c r="I1" t="s">
        <v>733</v>
      </c>
      <c r="J1" t="s">
        <v>734</v>
      </c>
      <c r="L1" t="s">
        <v>744</v>
      </c>
      <c r="M1" t="s">
        <v>754</v>
      </c>
      <c r="N1" t="s">
        <v>751</v>
      </c>
      <c r="O1" t="s">
        <v>752</v>
      </c>
      <c r="P1" t="s">
        <v>753</v>
      </c>
      <c r="Q1" t="s">
        <v>741</v>
      </c>
      <c r="R1" t="s">
        <v>765</v>
      </c>
      <c r="S1" t="s">
        <v>766</v>
      </c>
      <c r="T1" t="s">
        <v>767</v>
      </c>
      <c r="U1" t="s">
        <v>768</v>
      </c>
      <c r="V1" t="s">
        <v>742</v>
      </c>
      <c r="W1" t="s">
        <v>769</v>
      </c>
      <c r="X1" t="s">
        <v>770</v>
      </c>
      <c r="Y1" t="s">
        <v>771</v>
      </c>
      <c r="Z1" t="s">
        <v>772</v>
      </c>
      <c r="AA1" t="s">
        <v>743</v>
      </c>
    </row>
    <row r="2" spans="2:27" x14ac:dyDescent="0.3">
      <c r="B2" t="s">
        <v>405</v>
      </c>
      <c r="C2">
        <v>20</v>
      </c>
      <c r="D2">
        <v>35</v>
      </c>
      <c r="E2">
        <v>40</v>
      </c>
      <c r="F2">
        <v>30</v>
      </c>
      <c r="G2">
        <f>SUM(C2:F2)</f>
        <v>125</v>
      </c>
      <c r="H2">
        <v>0.3</v>
      </c>
      <c r="I2">
        <v>1.2</v>
      </c>
      <c r="J2">
        <v>0.6</v>
      </c>
      <c r="L2">
        <v>1</v>
      </c>
      <c r="M2" s="1">
        <f t="shared" ref="M2:M65" si="0">MAX(IF(OR(kcjd&lt;jdplant1,kcjd&gt;jdplant1+C$21),0,kc.ini.1),M367)</f>
        <v>0</v>
      </c>
      <c r="N2" s="1">
        <f t="shared" ref="N2:N65" si="1">MAX(IF(OR(kcjd&lt;jdplant1+C$21,kcjd&gt;jdplant1+SUM(C$21,D$21)),0,+H$21+(kcjd-(jdplant1+C$21))/(jdplant1+SUM(C$21,D$21)-(jdplant1+C$21))*(I$21-H$21)),N367)</f>
        <v>0</v>
      </c>
      <c r="O2" s="1">
        <f t="shared" ref="O2:O65" si="2">MAX(IF(OR(kcjd&lt;jdplant1+SUM(C$21,D$21),kcjd&gt;jdplant1+SUM(C$21,D$21,E$21)),0,kc.mid.1),O367)</f>
        <v>0</v>
      </c>
      <c r="P2" s="1">
        <f t="shared" ref="P2:P65" si="3">MAX(IF(OR(kcjd&lt;jdplant1+SUM(C$21:E$21),kcjd&gt;jdplant1+G$21),0,+I$21-(kcjd-(jdplant1+SUM(C$21:E$21)))/((jdplant1+G$21)-(jdplant1+SUM(C$21:E$21)))*(I$21-J$21)),P367)</f>
        <v>0</v>
      </c>
      <c r="Q2" s="1">
        <f>MAX(M2:P2)</f>
        <v>0</v>
      </c>
      <c r="R2" s="1">
        <f t="shared" ref="R2:R65" si="4">MAX(IF(OR(kcjd&lt;jdplant2,kcjd&gt;jdplant2+$C$22),0,kc.ini.2),R367)</f>
        <v>0</v>
      </c>
      <c r="S2" s="1">
        <f t="shared" ref="S2:S65" si="5">MAX(IF(OR(kcjd&lt;jdplant2+$C$22,kcjd&gt;jdplant2+SUM($C$22,$D$22)),0,+kc.ini.2+(kcjd-(jdplant2+$C$22))/(jdplant2+SUM($C$22,$D$22)-(jdplant2+$C$22))*(kc.mid.2-kc.ini.2)),S367)</f>
        <v>0</v>
      </c>
      <c r="T2" s="1">
        <f t="shared" ref="T2:T65" si="6">MAX(IF(OR(kcjd&lt;jdplant2+SUM($C$22,$D$22),kcjd&gt;jdplant2+SUM($C$22,$D$22,$E$22)),0,kc.mid.2),T367)</f>
        <v>0</v>
      </c>
      <c r="U2" s="1">
        <f t="shared" ref="U2:U65" si="7">MAX(IF(OR(kcjd&lt;jdplant2+SUM($C$22:$E$22),kcjd&gt;jdplant2+$G$22),0,+kc.mid.2-(kcjd-(jdplant2+SUM($C$22:$E$22)))/((jdplant2+$G$22)-(jdplant2+SUM($C$22:$E$22)))*(kc.mid.2-kc.late.2)),U367)</f>
        <v>0</v>
      </c>
      <c r="V2" s="1">
        <f>MAX(R2:U2)</f>
        <v>0</v>
      </c>
      <c r="W2" s="1">
        <f t="shared" ref="W2:W65" si="8">MAX(IF(OR(kcjd&lt;jdplant3,kcjd&gt;jdplant3+$C$23),0,kc.ini.3),W367)</f>
        <v>0</v>
      </c>
      <c r="X2" s="1">
        <f t="shared" ref="X2:X65" si="9">MAX(IF(OR(kcjd&lt;jdplant3+$C$23,kcjd&gt;jdplant3+SUM($C$23,$D$23)),0,+kc.ini.3+(kcjd-(jdplant3+$C$23))/(jdplant3+SUM($C$23,$D$23)-(jdplant3+$C$23))*(kc.mid.3-kc.ini.3)),X367)</f>
        <v>0</v>
      </c>
      <c r="Y2" s="1">
        <f t="shared" ref="Y2:Y65" si="10">MAX(IF(OR(kcjd&lt;jdplant3+SUM($C$23,$D$23),kcjd&gt;jdplant3+SUM($C$23,$D$23,$E$23)),0,kc.mid.3),Y367)</f>
        <v>0</v>
      </c>
      <c r="Z2" s="1">
        <f t="shared" ref="Z2:Z65" si="11">MAX(IF(OR(kcjd&lt;jdplant3+SUM($C$23:$E$23),kcjd&gt;jdplant3+$G$23),0,+kc.mid.3-(kcjd-(jdplant3+SUM($C$23:$E$23)))/((jdplant3+$G$23)-(jdplant3+SUM($C$23:$E$23)))*(kc.mid.3-kc.late.3)),Z367)</f>
        <v>0</v>
      </c>
      <c r="AA2" s="1">
        <f>MAX(W2:Z2)</f>
        <v>0</v>
      </c>
    </row>
    <row r="3" spans="2:27" x14ac:dyDescent="0.3">
      <c r="B3" t="s">
        <v>406</v>
      </c>
      <c r="C3">
        <v>20</v>
      </c>
      <c r="D3">
        <v>20</v>
      </c>
      <c r="E3">
        <v>30</v>
      </c>
      <c r="F3">
        <v>10</v>
      </c>
      <c r="G3">
        <f t="shared" ref="G3:G19" si="12">SUM(C3:F3)</f>
        <v>80</v>
      </c>
      <c r="H3">
        <v>0.3</v>
      </c>
      <c r="I3">
        <v>1.1499999999999999</v>
      </c>
      <c r="J3">
        <v>1.05</v>
      </c>
      <c r="L3">
        <v>2</v>
      </c>
      <c r="M3" s="1">
        <f t="shared" si="0"/>
        <v>0</v>
      </c>
      <c r="N3" s="1">
        <f t="shared" si="1"/>
        <v>0</v>
      </c>
      <c r="O3" s="1">
        <f t="shared" si="2"/>
        <v>0</v>
      </c>
      <c r="P3" s="1">
        <f t="shared" si="3"/>
        <v>0</v>
      </c>
      <c r="Q3" s="1">
        <f t="shared" ref="Q3:Q66" si="13">MAX(M3:P3)</f>
        <v>0</v>
      </c>
      <c r="R3" s="1">
        <f t="shared" si="4"/>
        <v>0</v>
      </c>
      <c r="S3" s="1">
        <f t="shared" si="5"/>
        <v>0</v>
      </c>
      <c r="T3" s="1">
        <f t="shared" si="6"/>
        <v>0</v>
      </c>
      <c r="U3" s="1">
        <f t="shared" si="7"/>
        <v>0</v>
      </c>
      <c r="V3" s="1">
        <f t="shared" ref="V3:V66" si="14">MAX(R3:U3)</f>
        <v>0</v>
      </c>
      <c r="W3" s="1">
        <f t="shared" si="8"/>
        <v>0</v>
      </c>
      <c r="X3" s="1">
        <f t="shared" si="9"/>
        <v>0</v>
      </c>
      <c r="Y3" s="1">
        <f t="shared" si="10"/>
        <v>0</v>
      </c>
      <c r="Z3" s="1">
        <f t="shared" si="11"/>
        <v>0</v>
      </c>
      <c r="AA3" s="1">
        <f t="shared" ref="AA3:AA66" si="15">MAX(W3:Z3)</f>
        <v>0</v>
      </c>
    </row>
    <row r="4" spans="2:27" x14ac:dyDescent="0.3">
      <c r="B4" t="s">
        <v>407</v>
      </c>
      <c r="C4">
        <v>30</v>
      </c>
      <c r="D4">
        <v>50</v>
      </c>
      <c r="E4">
        <v>55</v>
      </c>
      <c r="F4">
        <v>45</v>
      </c>
      <c r="G4">
        <f t="shared" si="12"/>
        <v>180</v>
      </c>
      <c r="H4">
        <v>0.35</v>
      </c>
      <c r="I4">
        <v>1.1499999999999999</v>
      </c>
      <c r="J4">
        <v>0.6</v>
      </c>
      <c r="L4">
        <v>3</v>
      </c>
      <c r="M4" s="1">
        <f t="shared" si="0"/>
        <v>0</v>
      </c>
      <c r="N4" s="1">
        <f t="shared" si="1"/>
        <v>0</v>
      </c>
      <c r="O4" s="1">
        <f t="shared" si="2"/>
        <v>0</v>
      </c>
      <c r="P4" s="1">
        <f t="shared" si="3"/>
        <v>0</v>
      </c>
      <c r="Q4" s="1">
        <f t="shared" si="13"/>
        <v>0</v>
      </c>
      <c r="R4" s="1">
        <f t="shared" si="4"/>
        <v>0</v>
      </c>
      <c r="S4" s="1">
        <f t="shared" si="5"/>
        <v>0</v>
      </c>
      <c r="T4" s="1">
        <f t="shared" si="6"/>
        <v>0</v>
      </c>
      <c r="U4" s="1">
        <f t="shared" si="7"/>
        <v>0</v>
      </c>
      <c r="V4" s="1">
        <f t="shared" si="14"/>
        <v>0</v>
      </c>
      <c r="W4" s="1">
        <f t="shared" si="8"/>
        <v>0</v>
      </c>
      <c r="X4" s="1">
        <f t="shared" si="9"/>
        <v>0</v>
      </c>
      <c r="Y4" s="1">
        <f t="shared" si="10"/>
        <v>0</v>
      </c>
      <c r="Z4" s="1">
        <f t="shared" si="11"/>
        <v>0</v>
      </c>
      <c r="AA4" s="1">
        <f t="shared" si="15"/>
        <v>0</v>
      </c>
    </row>
    <row r="5" spans="2:27" x14ac:dyDescent="0.3">
      <c r="B5" t="s">
        <v>408</v>
      </c>
      <c r="C5">
        <v>20</v>
      </c>
      <c r="D5">
        <v>35</v>
      </c>
      <c r="E5">
        <v>60</v>
      </c>
      <c r="F5">
        <v>25</v>
      </c>
      <c r="G5">
        <f t="shared" si="12"/>
        <v>140</v>
      </c>
      <c r="H5">
        <v>0.4</v>
      </c>
      <c r="I5">
        <v>1.1499999999999999</v>
      </c>
      <c r="J5">
        <v>0.5</v>
      </c>
      <c r="L5">
        <v>4</v>
      </c>
      <c r="M5" s="1">
        <f t="shared" si="0"/>
        <v>0</v>
      </c>
      <c r="N5" s="1">
        <f t="shared" si="1"/>
        <v>0</v>
      </c>
      <c r="O5" s="1">
        <f t="shared" si="2"/>
        <v>0</v>
      </c>
      <c r="P5" s="1">
        <f t="shared" si="3"/>
        <v>0</v>
      </c>
      <c r="Q5" s="1">
        <f t="shared" si="13"/>
        <v>0</v>
      </c>
      <c r="R5" s="1">
        <f t="shared" si="4"/>
        <v>0</v>
      </c>
      <c r="S5" s="1">
        <f t="shared" si="5"/>
        <v>0</v>
      </c>
      <c r="T5" s="1">
        <f t="shared" si="6"/>
        <v>0</v>
      </c>
      <c r="U5" s="1">
        <f t="shared" si="7"/>
        <v>0</v>
      </c>
      <c r="V5" s="1">
        <f t="shared" si="14"/>
        <v>0</v>
      </c>
      <c r="W5" s="1">
        <f t="shared" si="8"/>
        <v>0</v>
      </c>
      <c r="X5" s="1">
        <f t="shared" si="9"/>
        <v>0</v>
      </c>
      <c r="Y5" s="1">
        <f t="shared" si="10"/>
        <v>0</v>
      </c>
      <c r="Z5" s="1">
        <f t="shared" si="11"/>
        <v>0</v>
      </c>
      <c r="AA5" s="1">
        <f t="shared" si="15"/>
        <v>0</v>
      </c>
    </row>
    <row r="6" spans="2:27" x14ac:dyDescent="0.3">
      <c r="B6" t="s">
        <v>735</v>
      </c>
      <c r="C6">
        <v>35</v>
      </c>
      <c r="D6">
        <v>35</v>
      </c>
      <c r="E6">
        <v>35</v>
      </c>
      <c r="F6">
        <v>35</v>
      </c>
      <c r="G6">
        <f t="shared" si="12"/>
        <v>140</v>
      </c>
      <c r="H6">
        <v>0.4</v>
      </c>
      <c r="I6">
        <v>1.1499999999999999</v>
      </c>
      <c r="J6">
        <v>0.6</v>
      </c>
      <c r="L6">
        <v>5</v>
      </c>
      <c r="M6" s="1">
        <f t="shared" si="0"/>
        <v>0</v>
      </c>
      <c r="N6" s="1">
        <f t="shared" si="1"/>
        <v>0</v>
      </c>
      <c r="O6" s="1">
        <f t="shared" si="2"/>
        <v>0</v>
      </c>
      <c r="P6" s="1">
        <f t="shared" si="3"/>
        <v>0</v>
      </c>
      <c r="Q6" s="1">
        <f t="shared" si="13"/>
        <v>0</v>
      </c>
      <c r="R6" s="1">
        <f t="shared" si="4"/>
        <v>0</v>
      </c>
      <c r="S6" s="1">
        <f t="shared" si="5"/>
        <v>0</v>
      </c>
      <c r="T6" s="1">
        <f t="shared" si="6"/>
        <v>0</v>
      </c>
      <c r="U6" s="1">
        <f t="shared" si="7"/>
        <v>0</v>
      </c>
      <c r="V6" s="1">
        <f t="shared" si="14"/>
        <v>0</v>
      </c>
      <c r="W6" s="1">
        <f t="shared" si="8"/>
        <v>0</v>
      </c>
      <c r="X6" s="1">
        <f t="shared" si="9"/>
        <v>0</v>
      </c>
      <c r="Y6" s="1">
        <f t="shared" si="10"/>
        <v>0</v>
      </c>
      <c r="Z6" s="1">
        <f t="shared" si="11"/>
        <v>0</v>
      </c>
      <c r="AA6" s="1">
        <f t="shared" si="15"/>
        <v>0</v>
      </c>
    </row>
    <row r="7" spans="2:27" x14ac:dyDescent="0.3">
      <c r="B7" t="s">
        <v>409</v>
      </c>
      <c r="C7">
        <v>20</v>
      </c>
      <c r="D7">
        <v>60</v>
      </c>
      <c r="E7">
        <v>70</v>
      </c>
      <c r="F7">
        <v>30</v>
      </c>
      <c r="G7">
        <f t="shared" si="12"/>
        <v>180</v>
      </c>
      <c r="H7">
        <v>0.7</v>
      </c>
      <c r="I7">
        <v>1.1499999999999999</v>
      </c>
      <c r="J7">
        <v>0.25</v>
      </c>
      <c r="L7">
        <v>6</v>
      </c>
      <c r="M7" s="1">
        <f t="shared" si="0"/>
        <v>0</v>
      </c>
      <c r="N7" s="1">
        <f t="shared" si="1"/>
        <v>0</v>
      </c>
      <c r="O7" s="1">
        <f t="shared" si="2"/>
        <v>0</v>
      </c>
      <c r="P7" s="1">
        <f t="shared" si="3"/>
        <v>0</v>
      </c>
      <c r="Q7" s="1">
        <f t="shared" si="13"/>
        <v>0</v>
      </c>
      <c r="R7" s="1">
        <f t="shared" si="4"/>
        <v>0</v>
      </c>
      <c r="S7" s="1">
        <f t="shared" si="5"/>
        <v>0</v>
      </c>
      <c r="T7" s="1">
        <f t="shared" si="6"/>
        <v>0</v>
      </c>
      <c r="U7" s="1">
        <f t="shared" si="7"/>
        <v>0</v>
      </c>
      <c r="V7" s="1">
        <f t="shared" si="14"/>
        <v>0</v>
      </c>
      <c r="W7" s="1">
        <f t="shared" si="8"/>
        <v>0</v>
      </c>
      <c r="X7" s="1">
        <f t="shared" si="9"/>
        <v>0</v>
      </c>
      <c r="Y7" s="1">
        <f t="shared" si="10"/>
        <v>0</v>
      </c>
      <c r="Z7" s="1">
        <f t="shared" si="11"/>
        <v>0</v>
      </c>
      <c r="AA7" s="1">
        <f t="shared" si="15"/>
        <v>0</v>
      </c>
    </row>
    <row r="8" spans="2:27" x14ac:dyDescent="0.3">
      <c r="B8" t="s">
        <v>410</v>
      </c>
      <c r="C8">
        <v>20</v>
      </c>
      <c r="D8">
        <v>25</v>
      </c>
      <c r="E8">
        <v>60</v>
      </c>
      <c r="F8">
        <v>30</v>
      </c>
      <c r="G8">
        <f t="shared" si="12"/>
        <v>135</v>
      </c>
      <c r="H8">
        <v>0.3</v>
      </c>
      <c r="I8">
        <v>1.1499999999999999</v>
      </c>
      <c r="J8">
        <v>0.25</v>
      </c>
      <c r="L8">
        <v>7</v>
      </c>
      <c r="M8" s="1">
        <f t="shared" si="0"/>
        <v>0</v>
      </c>
      <c r="N8" s="1">
        <f t="shared" si="1"/>
        <v>0</v>
      </c>
      <c r="O8" s="1">
        <f t="shared" si="2"/>
        <v>0</v>
      </c>
      <c r="P8" s="1">
        <f t="shared" si="3"/>
        <v>0</v>
      </c>
      <c r="Q8" s="1">
        <f t="shared" si="13"/>
        <v>0</v>
      </c>
      <c r="R8" s="1">
        <f t="shared" si="4"/>
        <v>0</v>
      </c>
      <c r="S8" s="1">
        <f t="shared" si="5"/>
        <v>0</v>
      </c>
      <c r="T8" s="1">
        <f t="shared" si="6"/>
        <v>0</v>
      </c>
      <c r="U8" s="1">
        <f t="shared" si="7"/>
        <v>0</v>
      </c>
      <c r="V8" s="1">
        <f t="shared" si="14"/>
        <v>0</v>
      </c>
      <c r="W8" s="1">
        <f t="shared" si="8"/>
        <v>0</v>
      </c>
      <c r="X8" s="1">
        <f t="shared" si="9"/>
        <v>0</v>
      </c>
      <c r="Y8" s="1">
        <f t="shared" si="10"/>
        <v>0</v>
      </c>
      <c r="Z8" s="1">
        <f t="shared" si="11"/>
        <v>0</v>
      </c>
      <c r="AA8" s="1">
        <f t="shared" si="15"/>
        <v>0</v>
      </c>
    </row>
    <row r="9" spans="2:27" x14ac:dyDescent="0.3">
      <c r="B9" t="s">
        <v>411</v>
      </c>
      <c r="C9">
        <v>20</v>
      </c>
      <c r="D9">
        <v>35</v>
      </c>
      <c r="E9">
        <v>40</v>
      </c>
      <c r="F9">
        <v>30</v>
      </c>
      <c r="G9">
        <f t="shared" si="12"/>
        <v>125</v>
      </c>
      <c r="H9">
        <v>0.3</v>
      </c>
      <c r="I9">
        <v>1.1000000000000001</v>
      </c>
      <c r="J9">
        <v>0.55000000000000004</v>
      </c>
      <c r="L9">
        <v>8</v>
      </c>
      <c r="M9" s="1">
        <f t="shared" si="0"/>
        <v>0</v>
      </c>
      <c r="N9" s="1">
        <f t="shared" si="1"/>
        <v>0</v>
      </c>
      <c r="O9" s="1">
        <f t="shared" si="2"/>
        <v>0</v>
      </c>
      <c r="P9" s="1">
        <f t="shared" si="3"/>
        <v>0</v>
      </c>
      <c r="Q9" s="1">
        <f t="shared" si="13"/>
        <v>0</v>
      </c>
      <c r="R9" s="1">
        <f t="shared" si="4"/>
        <v>0</v>
      </c>
      <c r="S9" s="1">
        <f t="shared" si="5"/>
        <v>0</v>
      </c>
      <c r="T9" s="1">
        <f t="shared" si="6"/>
        <v>0</v>
      </c>
      <c r="U9" s="1">
        <f t="shared" si="7"/>
        <v>0</v>
      </c>
      <c r="V9" s="1">
        <f t="shared" si="14"/>
        <v>0</v>
      </c>
      <c r="W9" s="1">
        <f t="shared" si="8"/>
        <v>0</v>
      </c>
      <c r="X9" s="1">
        <f t="shared" si="9"/>
        <v>0</v>
      </c>
      <c r="Y9" s="1">
        <f t="shared" si="10"/>
        <v>0</v>
      </c>
      <c r="Z9" s="1">
        <f t="shared" si="11"/>
        <v>0</v>
      </c>
      <c r="AA9" s="1">
        <f t="shared" si="15"/>
        <v>0</v>
      </c>
    </row>
    <row r="10" spans="2:27" x14ac:dyDescent="0.3">
      <c r="B10" t="s">
        <v>412</v>
      </c>
      <c r="C10">
        <v>10</v>
      </c>
      <c r="D10">
        <v>20</v>
      </c>
      <c r="E10">
        <v>75</v>
      </c>
      <c r="F10">
        <v>60</v>
      </c>
      <c r="G10">
        <f t="shared" si="12"/>
        <v>165</v>
      </c>
      <c r="H10">
        <v>0.4</v>
      </c>
      <c r="I10">
        <v>0.85</v>
      </c>
      <c r="J10">
        <v>0.85</v>
      </c>
      <c r="L10">
        <v>9</v>
      </c>
      <c r="M10" s="1">
        <f t="shared" si="0"/>
        <v>0</v>
      </c>
      <c r="N10" s="1">
        <f t="shared" si="1"/>
        <v>0</v>
      </c>
      <c r="O10" s="1">
        <f t="shared" si="2"/>
        <v>0</v>
      </c>
      <c r="P10" s="1">
        <f t="shared" si="3"/>
        <v>0</v>
      </c>
      <c r="Q10" s="1">
        <f t="shared" si="13"/>
        <v>0</v>
      </c>
      <c r="R10" s="1">
        <f t="shared" si="4"/>
        <v>0</v>
      </c>
      <c r="S10" s="1">
        <f t="shared" si="5"/>
        <v>0</v>
      </c>
      <c r="T10" s="1">
        <f t="shared" si="6"/>
        <v>0</v>
      </c>
      <c r="U10" s="1">
        <f t="shared" si="7"/>
        <v>0</v>
      </c>
      <c r="V10" s="1">
        <f t="shared" si="14"/>
        <v>0</v>
      </c>
      <c r="W10" s="1">
        <f t="shared" si="8"/>
        <v>0</v>
      </c>
      <c r="X10" s="1">
        <f t="shared" si="9"/>
        <v>0</v>
      </c>
      <c r="Y10" s="1">
        <f t="shared" si="10"/>
        <v>0</v>
      </c>
      <c r="Z10" s="1">
        <f t="shared" si="11"/>
        <v>0</v>
      </c>
      <c r="AA10" s="1">
        <f t="shared" si="15"/>
        <v>0</v>
      </c>
    </row>
    <row r="11" spans="2:27" x14ac:dyDescent="0.3">
      <c r="B11" t="s">
        <v>413</v>
      </c>
      <c r="C11">
        <v>30</v>
      </c>
      <c r="D11">
        <v>40</v>
      </c>
      <c r="E11">
        <v>45</v>
      </c>
      <c r="F11">
        <v>25</v>
      </c>
      <c r="G11">
        <f t="shared" si="12"/>
        <v>140</v>
      </c>
      <c r="H11">
        <v>0.6</v>
      </c>
      <c r="I11">
        <v>1.1499999999999999</v>
      </c>
      <c r="J11">
        <v>0.8</v>
      </c>
      <c r="L11">
        <v>10</v>
      </c>
      <c r="M11" s="1">
        <f t="shared" si="0"/>
        <v>0</v>
      </c>
      <c r="N11" s="1">
        <f t="shared" si="1"/>
        <v>0</v>
      </c>
      <c r="O11" s="1">
        <f t="shared" si="2"/>
        <v>0</v>
      </c>
      <c r="P11" s="1">
        <f t="shared" si="3"/>
        <v>0</v>
      </c>
      <c r="Q11" s="1">
        <f t="shared" si="13"/>
        <v>0</v>
      </c>
      <c r="R11" s="1">
        <f t="shared" si="4"/>
        <v>0</v>
      </c>
      <c r="S11" s="1">
        <f t="shared" si="5"/>
        <v>0</v>
      </c>
      <c r="T11" s="1">
        <f t="shared" si="6"/>
        <v>0</v>
      </c>
      <c r="U11" s="1">
        <f t="shared" si="7"/>
        <v>0</v>
      </c>
      <c r="V11" s="1">
        <f t="shared" si="14"/>
        <v>0</v>
      </c>
      <c r="W11" s="1">
        <f t="shared" si="8"/>
        <v>0</v>
      </c>
      <c r="X11" s="1">
        <f t="shared" si="9"/>
        <v>0</v>
      </c>
      <c r="Y11" s="1">
        <f t="shared" si="10"/>
        <v>0</v>
      </c>
      <c r="Z11" s="1">
        <f t="shared" si="11"/>
        <v>0</v>
      </c>
      <c r="AA11" s="1">
        <f t="shared" si="15"/>
        <v>0</v>
      </c>
    </row>
    <row r="12" spans="2:27" x14ac:dyDescent="0.3">
      <c r="B12" t="s">
        <v>736</v>
      </c>
      <c r="C12">
        <v>20</v>
      </c>
      <c r="D12">
        <v>70</v>
      </c>
      <c r="E12">
        <v>90</v>
      </c>
      <c r="F12">
        <v>30</v>
      </c>
      <c r="G12">
        <f t="shared" si="12"/>
        <v>210</v>
      </c>
      <c r="H12">
        <v>0.5</v>
      </c>
      <c r="I12">
        <v>1.1499999999999999</v>
      </c>
      <c r="J12">
        <v>0.9</v>
      </c>
      <c r="L12">
        <v>11</v>
      </c>
      <c r="M12" s="1">
        <f t="shared" si="0"/>
        <v>0</v>
      </c>
      <c r="N12" s="1">
        <f t="shared" si="1"/>
        <v>0</v>
      </c>
      <c r="O12" s="1">
        <f t="shared" si="2"/>
        <v>0</v>
      </c>
      <c r="P12" s="1">
        <f t="shared" si="3"/>
        <v>0</v>
      </c>
      <c r="Q12" s="1">
        <f t="shared" si="13"/>
        <v>0</v>
      </c>
      <c r="R12" s="1">
        <f t="shared" si="4"/>
        <v>0</v>
      </c>
      <c r="S12" s="1">
        <f t="shared" si="5"/>
        <v>0</v>
      </c>
      <c r="T12" s="1">
        <f t="shared" si="6"/>
        <v>0</v>
      </c>
      <c r="U12" s="1">
        <f t="shared" si="7"/>
        <v>0</v>
      </c>
      <c r="V12" s="1">
        <f t="shared" si="14"/>
        <v>0</v>
      </c>
      <c r="W12" s="1">
        <f t="shared" si="8"/>
        <v>0</v>
      </c>
      <c r="X12" s="1">
        <f t="shared" si="9"/>
        <v>0</v>
      </c>
      <c r="Y12" s="1">
        <f t="shared" si="10"/>
        <v>0</v>
      </c>
      <c r="Z12" s="1">
        <f t="shared" si="11"/>
        <v>0</v>
      </c>
      <c r="AA12" s="1">
        <f t="shared" si="15"/>
        <v>0</v>
      </c>
    </row>
    <row r="13" spans="2:27" x14ac:dyDescent="0.3">
      <c r="B13" t="s">
        <v>737</v>
      </c>
      <c r="C13">
        <v>20</v>
      </c>
      <c r="D13">
        <v>70</v>
      </c>
      <c r="E13">
        <v>90</v>
      </c>
      <c r="F13">
        <v>30</v>
      </c>
      <c r="G13">
        <f>SUM(C13:F13)</f>
        <v>210</v>
      </c>
      <c r="H13">
        <v>0.45</v>
      </c>
      <c r="I13">
        <v>0.9</v>
      </c>
      <c r="J13">
        <v>0.65</v>
      </c>
      <c r="L13">
        <v>12</v>
      </c>
      <c r="M13" s="1">
        <f t="shared" si="0"/>
        <v>0</v>
      </c>
      <c r="N13" s="1">
        <f t="shared" si="1"/>
        <v>0</v>
      </c>
      <c r="O13" s="1">
        <f t="shared" si="2"/>
        <v>0</v>
      </c>
      <c r="P13" s="1">
        <f t="shared" si="3"/>
        <v>0</v>
      </c>
      <c r="Q13" s="1">
        <f t="shared" si="13"/>
        <v>0</v>
      </c>
      <c r="R13" s="1">
        <f t="shared" si="4"/>
        <v>0</v>
      </c>
      <c r="S13" s="1">
        <f t="shared" si="5"/>
        <v>0</v>
      </c>
      <c r="T13" s="1">
        <f t="shared" si="6"/>
        <v>0</v>
      </c>
      <c r="U13" s="1">
        <f t="shared" si="7"/>
        <v>0</v>
      </c>
      <c r="V13" s="1">
        <f t="shared" si="14"/>
        <v>0</v>
      </c>
      <c r="W13" s="1">
        <f t="shared" si="8"/>
        <v>0</v>
      </c>
      <c r="X13" s="1">
        <f t="shared" si="9"/>
        <v>0</v>
      </c>
      <c r="Y13" s="1">
        <f t="shared" si="10"/>
        <v>0</v>
      </c>
      <c r="Z13" s="1">
        <f t="shared" si="11"/>
        <v>0</v>
      </c>
      <c r="AA13" s="1">
        <f t="shared" si="15"/>
        <v>0</v>
      </c>
    </row>
    <row r="14" spans="2:27" x14ac:dyDescent="0.3">
      <c r="B14" t="s">
        <v>414</v>
      </c>
      <c r="C14">
        <v>10</v>
      </c>
      <c r="D14">
        <v>15</v>
      </c>
      <c r="E14">
        <v>90</v>
      </c>
      <c r="F14">
        <v>40</v>
      </c>
      <c r="G14">
        <f t="shared" si="12"/>
        <v>155</v>
      </c>
      <c r="H14">
        <v>0.55000000000000004</v>
      </c>
      <c r="I14">
        <v>1</v>
      </c>
      <c r="J14">
        <v>0.85</v>
      </c>
      <c r="L14">
        <v>13</v>
      </c>
      <c r="M14" s="1">
        <f t="shared" si="0"/>
        <v>0</v>
      </c>
      <c r="N14" s="1">
        <f t="shared" si="1"/>
        <v>0</v>
      </c>
      <c r="O14" s="1">
        <f t="shared" si="2"/>
        <v>0</v>
      </c>
      <c r="P14" s="1">
        <f t="shared" si="3"/>
        <v>0</v>
      </c>
      <c r="Q14" s="1">
        <f t="shared" si="13"/>
        <v>0</v>
      </c>
      <c r="R14" s="1">
        <f t="shared" si="4"/>
        <v>0</v>
      </c>
      <c r="S14" s="1">
        <f t="shared" si="5"/>
        <v>0</v>
      </c>
      <c r="T14" s="1">
        <f t="shared" si="6"/>
        <v>0</v>
      </c>
      <c r="U14" s="1">
        <f t="shared" si="7"/>
        <v>0</v>
      </c>
      <c r="V14" s="1">
        <f t="shared" si="14"/>
        <v>0</v>
      </c>
      <c r="W14" s="1">
        <f t="shared" si="8"/>
        <v>0</v>
      </c>
      <c r="X14" s="1">
        <f t="shared" si="9"/>
        <v>0</v>
      </c>
      <c r="Y14" s="1">
        <f t="shared" si="10"/>
        <v>0</v>
      </c>
      <c r="Z14" s="1">
        <f t="shared" si="11"/>
        <v>0</v>
      </c>
      <c r="AA14" s="1">
        <f t="shared" si="15"/>
        <v>0</v>
      </c>
    </row>
    <row r="15" spans="2:27" x14ac:dyDescent="0.3">
      <c r="B15" t="s">
        <v>415</v>
      </c>
      <c r="C15">
        <v>30</v>
      </c>
      <c r="D15">
        <v>30</v>
      </c>
      <c r="E15">
        <v>20</v>
      </c>
      <c r="F15">
        <v>10</v>
      </c>
      <c r="G15">
        <f t="shared" si="12"/>
        <v>90</v>
      </c>
      <c r="H15">
        <v>0.7</v>
      </c>
      <c r="I15">
        <v>1.05</v>
      </c>
      <c r="J15">
        <v>0.95</v>
      </c>
      <c r="L15">
        <v>14</v>
      </c>
      <c r="M15" s="1">
        <f t="shared" si="0"/>
        <v>0</v>
      </c>
      <c r="N15" s="1">
        <f t="shared" si="1"/>
        <v>0</v>
      </c>
      <c r="O15" s="1">
        <f t="shared" si="2"/>
        <v>0</v>
      </c>
      <c r="P15" s="1">
        <f t="shared" si="3"/>
        <v>0</v>
      </c>
      <c r="Q15" s="1">
        <f t="shared" si="13"/>
        <v>0</v>
      </c>
      <c r="R15" s="1">
        <f t="shared" si="4"/>
        <v>0</v>
      </c>
      <c r="S15" s="1">
        <f t="shared" si="5"/>
        <v>0</v>
      </c>
      <c r="T15" s="1">
        <f t="shared" si="6"/>
        <v>0</v>
      </c>
      <c r="U15" s="1">
        <f t="shared" si="7"/>
        <v>0</v>
      </c>
      <c r="V15" s="1">
        <f t="shared" si="14"/>
        <v>0</v>
      </c>
      <c r="W15" s="1">
        <f t="shared" si="8"/>
        <v>0</v>
      </c>
      <c r="X15" s="1">
        <f t="shared" si="9"/>
        <v>0</v>
      </c>
      <c r="Y15" s="1">
        <f t="shared" si="10"/>
        <v>0</v>
      </c>
      <c r="Z15" s="1">
        <f t="shared" si="11"/>
        <v>0</v>
      </c>
      <c r="AA15" s="1">
        <f t="shared" si="15"/>
        <v>0</v>
      </c>
    </row>
    <row r="16" spans="2:27" x14ac:dyDescent="0.3">
      <c r="B16" t="s">
        <v>993</v>
      </c>
      <c r="C16">
        <v>20</v>
      </c>
      <c r="D16">
        <v>30</v>
      </c>
      <c r="E16">
        <v>30</v>
      </c>
      <c r="F16">
        <v>30</v>
      </c>
      <c r="G16">
        <f t="shared" si="12"/>
        <v>110</v>
      </c>
      <c r="H16">
        <v>0.4</v>
      </c>
      <c r="I16">
        <v>1</v>
      </c>
      <c r="J16">
        <v>0.75</v>
      </c>
      <c r="L16">
        <v>15</v>
      </c>
      <c r="M16" s="1">
        <f t="shared" si="0"/>
        <v>0</v>
      </c>
      <c r="N16" s="1">
        <f t="shared" si="1"/>
        <v>0</v>
      </c>
      <c r="O16" s="1">
        <f t="shared" si="2"/>
        <v>0</v>
      </c>
      <c r="P16" s="1">
        <f t="shared" si="3"/>
        <v>0</v>
      </c>
      <c r="Q16" s="1">
        <f t="shared" si="13"/>
        <v>0</v>
      </c>
      <c r="R16" s="1">
        <f t="shared" si="4"/>
        <v>0</v>
      </c>
      <c r="S16" s="1">
        <f t="shared" si="5"/>
        <v>0</v>
      </c>
      <c r="T16" s="1">
        <f t="shared" si="6"/>
        <v>0</v>
      </c>
      <c r="U16" s="1">
        <f t="shared" si="7"/>
        <v>0</v>
      </c>
      <c r="V16" s="1">
        <f t="shared" si="14"/>
        <v>0</v>
      </c>
      <c r="W16" s="1">
        <f t="shared" si="8"/>
        <v>0</v>
      </c>
      <c r="X16" s="1">
        <f t="shared" si="9"/>
        <v>0</v>
      </c>
      <c r="Y16" s="1">
        <f t="shared" si="10"/>
        <v>0</v>
      </c>
      <c r="Z16" s="1">
        <f t="shared" si="11"/>
        <v>0</v>
      </c>
      <c r="AA16" s="1">
        <f t="shared" si="15"/>
        <v>0</v>
      </c>
    </row>
    <row r="17" spans="2:27" x14ac:dyDescent="0.3">
      <c r="B17" t="s">
        <v>992</v>
      </c>
      <c r="C17">
        <v>20</v>
      </c>
      <c r="D17">
        <v>20</v>
      </c>
      <c r="E17">
        <v>30</v>
      </c>
      <c r="F17">
        <v>20</v>
      </c>
      <c r="G17">
        <f t="shared" si="12"/>
        <v>90</v>
      </c>
      <c r="H17">
        <v>0.3</v>
      </c>
      <c r="I17">
        <v>1</v>
      </c>
      <c r="J17">
        <v>0.5</v>
      </c>
      <c r="L17">
        <v>16</v>
      </c>
      <c r="M17" s="1">
        <f t="shared" si="0"/>
        <v>0</v>
      </c>
      <c r="N17" s="1">
        <f t="shared" si="1"/>
        <v>0</v>
      </c>
      <c r="O17" s="1">
        <f t="shared" si="2"/>
        <v>0</v>
      </c>
      <c r="P17" s="1">
        <f t="shared" si="3"/>
        <v>0</v>
      </c>
      <c r="Q17" s="1">
        <f t="shared" si="13"/>
        <v>0</v>
      </c>
      <c r="R17" s="1">
        <f t="shared" si="4"/>
        <v>0</v>
      </c>
      <c r="S17" s="1">
        <f t="shared" si="5"/>
        <v>0</v>
      </c>
      <c r="T17" s="1">
        <f t="shared" si="6"/>
        <v>0</v>
      </c>
      <c r="U17" s="1">
        <f t="shared" si="7"/>
        <v>0</v>
      </c>
      <c r="V17" s="1">
        <f t="shared" si="14"/>
        <v>0</v>
      </c>
      <c r="W17" s="1">
        <f t="shared" si="8"/>
        <v>0</v>
      </c>
      <c r="X17" s="1">
        <f t="shared" si="9"/>
        <v>0</v>
      </c>
      <c r="Y17" s="1">
        <f t="shared" si="10"/>
        <v>0</v>
      </c>
      <c r="Z17" s="1">
        <f t="shared" si="11"/>
        <v>0</v>
      </c>
      <c r="AA17" s="1">
        <f t="shared" si="15"/>
        <v>0</v>
      </c>
    </row>
    <row r="18" spans="2:27" x14ac:dyDescent="0.3">
      <c r="B18" t="s">
        <v>1013</v>
      </c>
      <c r="C18">
        <v>15</v>
      </c>
      <c r="D18">
        <v>30</v>
      </c>
      <c r="E18">
        <v>50</v>
      </c>
      <c r="F18">
        <v>35</v>
      </c>
      <c r="G18">
        <f t="shared" si="12"/>
        <v>130</v>
      </c>
      <c r="H18">
        <v>0.5</v>
      </c>
      <c r="I18">
        <v>1.1499999999999999</v>
      </c>
      <c r="J18">
        <v>0.65</v>
      </c>
      <c r="L18">
        <v>17</v>
      </c>
      <c r="M18" s="1">
        <f t="shared" si="0"/>
        <v>0</v>
      </c>
      <c r="N18" s="1">
        <f t="shared" si="1"/>
        <v>0</v>
      </c>
      <c r="O18" s="1">
        <f t="shared" si="2"/>
        <v>0</v>
      </c>
      <c r="P18" s="1">
        <f t="shared" si="3"/>
        <v>0</v>
      </c>
      <c r="Q18" s="1">
        <f t="shared" si="13"/>
        <v>0</v>
      </c>
      <c r="R18" s="1">
        <f t="shared" si="4"/>
        <v>0</v>
      </c>
      <c r="S18" s="1">
        <f t="shared" si="5"/>
        <v>0</v>
      </c>
      <c r="T18" s="1">
        <f t="shared" si="6"/>
        <v>0</v>
      </c>
      <c r="U18" s="1">
        <f t="shared" si="7"/>
        <v>0</v>
      </c>
      <c r="V18" s="1">
        <f t="shared" si="14"/>
        <v>0</v>
      </c>
      <c r="W18" s="1">
        <f t="shared" si="8"/>
        <v>0</v>
      </c>
      <c r="X18" s="1">
        <f t="shared" si="9"/>
        <v>0</v>
      </c>
      <c r="Y18" s="1">
        <f t="shared" si="10"/>
        <v>0</v>
      </c>
      <c r="Z18" s="1">
        <f t="shared" si="11"/>
        <v>0</v>
      </c>
      <c r="AA18" s="1">
        <f t="shared" si="15"/>
        <v>0</v>
      </c>
    </row>
    <row r="19" spans="2:27" x14ac:dyDescent="0.3">
      <c r="B19" t="s">
        <v>1014</v>
      </c>
      <c r="C19">
        <v>20</v>
      </c>
      <c r="D19">
        <v>120</v>
      </c>
      <c r="E19">
        <v>75</v>
      </c>
      <c r="F19">
        <v>35</v>
      </c>
      <c r="G19">
        <f t="shared" si="12"/>
        <v>250</v>
      </c>
      <c r="H19">
        <v>0.4</v>
      </c>
      <c r="I19">
        <v>0.85</v>
      </c>
      <c r="J19">
        <v>0.75</v>
      </c>
      <c r="L19">
        <v>18</v>
      </c>
      <c r="M19" s="1">
        <f t="shared" si="0"/>
        <v>0</v>
      </c>
      <c r="N19" s="1">
        <f t="shared" si="1"/>
        <v>0</v>
      </c>
      <c r="O19" s="1">
        <f t="shared" si="2"/>
        <v>0</v>
      </c>
      <c r="P19" s="1">
        <f t="shared" si="3"/>
        <v>0</v>
      </c>
      <c r="Q19" s="1">
        <f t="shared" si="13"/>
        <v>0</v>
      </c>
      <c r="R19" s="1">
        <f t="shared" si="4"/>
        <v>0</v>
      </c>
      <c r="S19" s="1">
        <f t="shared" si="5"/>
        <v>0</v>
      </c>
      <c r="T19" s="1">
        <f t="shared" si="6"/>
        <v>0</v>
      </c>
      <c r="U19" s="1">
        <f t="shared" si="7"/>
        <v>0</v>
      </c>
      <c r="V19" s="1">
        <f t="shared" si="14"/>
        <v>0</v>
      </c>
      <c r="W19" s="1">
        <f t="shared" si="8"/>
        <v>0</v>
      </c>
      <c r="X19" s="1">
        <f t="shared" si="9"/>
        <v>0</v>
      </c>
      <c r="Y19" s="1">
        <f t="shared" si="10"/>
        <v>0</v>
      </c>
      <c r="Z19" s="1">
        <f t="shared" si="11"/>
        <v>0</v>
      </c>
      <c r="AA19" s="1">
        <f t="shared" si="15"/>
        <v>0</v>
      </c>
    </row>
    <row r="20" spans="2:27" x14ac:dyDescent="0.3">
      <c r="L20">
        <v>19</v>
      </c>
      <c r="M20" s="1">
        <f t="shared" si="0"/>
        <v>0</v>
      </c>
      <c r="N20" s="1">
        <f t="shared" si="1"/>
        <v>0</v>
      </c>
      <c r="O20" s="1">
        <f t="shared" si="2"/>
        <v>0</v>
      </c>
      <c r="P20" s="1">
        <f t="shared" si="3"/>
        <v>0</v>
      </c>
      <c r="Q20" s="1">
        <f t="shared" si="13"/>
        <v>0</v>
      </c>
      <c r="R20" s="1">
        <f t="shared" si="4"/>
        <v>0</v>
      </c>
      <c r="S20" s="1">
        <f t="shared" si="5"/>
        <v>0</v>
      </c>
      <c r="T20" s="1">
        <f t="shared" si="6"/>
        <v>0</v>
      </c>
      <c r="U20" s="1">
        <f t="shared" si="7"/>
        <v>0</v>
      </c>
      <c r="V20" s="1">
        <f t="shared" si="14"/>
        <v>0</v>
      </c>
      <c r="W20" s="1">
        <f t="shared" si="8"/>
        <v>0</v>
      </c>
      <c r="X20" s="1">
        <f t="shared" si="9"/>
        <v>0</v>
      </c>
      <c r="Y20" s="1">
        <f t="shared" si="10"/>
        <v>0</v>
      </c>
      <c r="Z20" s="1">
        <f t="shared" si="11"/>
        <v>0</v>
      </c>
      <c r="AA20" s="1">
        <f t="shared" si="15"/>
        <v>0</v>
      </c>
    </row>
    <row r="21" spans="2:27" x14ac:dyDescent="0.3">
      <c r="B21" t="str">
        <f>+Crop1</f>
        <v>Corn (field)</v>
      </c>
      <c r="C21">
        <f>IF(ISNA(variables!C13),0,VLOOKUP(Crop1,kcs!$B$2:$J$19,2,0))</f>
        <v>20</v>
      </c>
      <c r="D21">
        <f>IF(ISNA(variables!C14),0,VLOOKUP(Crop1,kcs!$B$2:$J$19,3,0))</f>
        <v>35</v>
      </c>
      <c r="E21">
        <f>IF(ISNA(variables!C15),0,VLOOKUP(Crop1,kcs!$B$2:$J$19,4,0))</f>
        <v>40</v>
      </c>
      <c r="F21">
        <f>IF(ISNA(variables!C16),0,VLOOKUP(Crop1,kcs!$B$2:$J$19,5,0))</f>
        <v>30</v>
      </c>
      <c r="G21">
        <f>IF(ISNA(variables!C17),0,VLOOKUP(Crop1,kcs!$B$2:$J$19,6,0))</f>
        <v>125</v>
      </c>
      <c r="H21">
        <f>IF(Crop1="NULL",0,VLOOKUP(Crop1,kcs!$B$2:$J$19,7,FALSE))</f>
        <v>0.3</v>
      </c>
      <c r="I21">
        <f>IF(Crop1="NULL",0,VLOOKUP(Crop1,kcs!$B$2:$J$19,8,FALSE))</f>
        <v>1.2</v>
      </c>
      <c r="J21">
        <f>IF(Crop1="NULL",0,VLOOKUP(Crop1,kcs!$B$2:$J$19,9,FALSE))</f>
        <v>0.6</v>
      </c>
      <c r="L21">
        <v>20</v>
      </c>
      <c r="M21" s="1">
        <f t="shared" si="0"/>
        <v>0</v>
      </c>
      <c r="N21" s="1">
        <f t="shared" si="1"/>
        <v>0</v>
      </c>
      <c r="O21" s="1">
        <f t="shared" si="2"/>
        <v>0</v>
      </c>
      <c r="P21" s="1">
        <f t="shared" si="3"/>
        <v>0</v>
      </c>
      <c r="Q21" s="1">
        <f t="shared" si="13"/>
        <v>0</v>
      </c>
      <c r="R21" s="1">
        <f t="shared" si="4"/>
        <v>0</v>
      </c>
      <c r="S21" s="1">
        <f t="shared" si="5"/>
        <v>0</v>
      </c>
      <c r="T21" s="1">
        <f t="shared" si="6"/>
        <v>0</v>
      </c>
      <c r="U21" s="1">
        <f t="shared" si="7"/>
        <v>0</v>
      </c>
      <c r="V21" s="1">
        <f t="shared" si="14"/>
        <v>0</v>
      </c>
      <c r="W21" s="1">
        <f t="shared" si="8"/>
        <v>0</v>
      </c>
      <c r="X21" s="1">
        <f t="shared" si="9"/>
        <v>0</v>
      </c>
      <c r="Y21" s="1">
        <f t="shared" si="10"/>
        <v>0</v>
      </c>
      <c r="Z21" s="1">
        <f t="shared" si="11"/>
        <v>0</v>
      </c>
      <c r="AA21" s="1">
        <f t="shared" si="15"/>
        <v>0</v>
      </c>
    </row>
    <row r="22" spans="2:27" x14ac:dyDescent="0.3">
      <c r="B22" t="str">
        <f>+Crop2</f>
        <v>Null</v>
      </c>
      <c r="C22">
        <f>IF(ISNA(variables!D13),0,VLOOKUP(Crop2,kcs!$B$2:$J$19,2,0))</f>
        <v>0</v>
      </c>
      <c r="D22">
        <f>IF(ISNA(variables!D14),0,VLOOKUP(Crop2,kcs!$B$2:$J$19,3,0))</f>
        <v>0</v>
      </c>
      <c r="E22">
        <f>IF(ISNA(variables!D15),0,VLOOKUP(Crop2,kcs!$B$2:$J$19,4,0))</f>
        <v>0</v>
      </c>
      <c r="F22">
        <f>IF(ISNA(variables!D16),0,VLOOKUP(Crop2,kcs!$B$2:$J$19,5,0))</f>
        <v>0</v>
      </c>
      <c r="G22">
        <f>IF(ISNA(variables!D17),0,VLOOKUP(Crop2,kcs!$B$2:$J$19,6,0))</f>
        <v>0</v>
      </c>
      <c r="H22">
        <f>IF(Crop2="NULL",0,VLOOKUP(Crop2,kcs!$B$2:$J$19,7,0))</f>
        <v>0</v>
      </c>
      <c r="I22">
        <f>IF(Crop2="NULL",0,VLOOKUP(Crop2,kcs!$B$2:$J$19,8,FALSE))</f>
        <v>0</v>
      </c>
      <c r="J22">
        <f>IF(Crop2="NULL",0,VLOOKUP(Crop2,kcs!$B$2:$J$19,9,FALSE))</f>
        <v>0</v>
      </c>
      <c r="L22">
        <v>21</v>
      </c>
      <c r="M22" s="1">
        <f t="shared" si="0"/>
        <v>0</v>
      </c>
      <c r="N22" s="1">
        <f t="shared" si="1"/>
        <v>0</v>
      </c>
      <c r="O22" s="1">
        <f t="shared" si="2"/>
        <v>0</v>
      </c>
      <c r="P22" s="1">
        <f t="shared" si="3"/>
        <v>0</v>
      </c>
      <c r="Q22" s="1">
        <f t="shared" si="13"/>
        <v>0</v>
      </c>
      <c r="R22" s="1">
        <f t="shared" si="4"/>
        <v>0</v>
      </c>
      <c r="S22" s="1">
        <f t="shared" si="5"/>
        <v>0</v>
      </c>
      <c r="T22" s="1">
        <f t="shared" si="6"/>
        <v>0</v>
      </c>
      <c r="U22" s="1">
        <f t="shared" si="7"/>
        <v>0</v>
      </c>
      <c r="V22" s="1">
        <f t="shared" si="14"/>
        <v>0</v>
      </c>
      <c r="W22" s="1">
        <f t="shared" si="8"/>
        <v>0</v>
      </c>
      <c r="X22" s="1">
        <f t="shared" si="9"/>
        <v>0</v>
      </c>
      <c r="Y22" s="1">
        <f t="shared" si="10"/>
        <v>0</v>
      </c>
      <c r="Z22" s="1">
        <f t="shared" si="11"/>
        <v>0</v>
      </c>
      <c r="AA22" s="1">
        <f t="shared" si="15"/>
        <v>0</v>
      </c>
    </row>
    <row r="23" spans="2:27" x14ac:dyDescent="0.3">
      <c r="B23" t="str">
        <f>IF(Crop3="","NULL",+Crop3)</f>
        <v>Null</v>
      </c>
      <c r="C23">
        <f>IF(ISNA(variables!E13),0,VLOOKUP(Crop3,kcs!$B$2:$J$19,2,0))</f>
        <v>0</v>
      </c>
      <c r="D23">
        <f>IF(ISNA(variables!E14),0,VLOOKUP(Crop3,kcs!$B$2:$J$19,3,0))</f>
        <v>0</v>
      </c>
      <c r="E23">
        <f>IF(ISNA(variables!E15),0,VLOOKUP(Crop3,kcs!$B$2:$J$19,4,0))</f>
        <v>0</v>
      </c>
      <c r="F23">
        <f>IF(ISNA(variables!E16),0,VLOOKUP(Crop3,kcs!$B$2:$J$19,5,0))</f>
        <v>0</v>
      </c>
      <c r="G23">
        <f>IF(ISNA(variables!E17),0,VLOOKUP(Crop3,kcs!$B$2:$J$19,6,0))</f>
        <v>0</v>
      </c>
      <c r="H23">
        <f>IF(Crop3="NULL",0,VLOOKUP(Crop3,kcs!$B$2:$J$19,7,0))</f>
        <v>0</v>
      </c>
      <c r="I23">
        <f>IF(Crop3="NULL",0,VLOOKUP(Crop3,kcs!$B$2:$J$19,8,FALSE))</f>
        <v>0</v>
      </c>
      <c r="J23">
        <f>IF(Crop3="NULL",0,VLOOKUP(Crop3,kcs!$B$2:$J$19,9,FALSE))</f>
        <v>0</v>
      </c>
      <c r="L23">
        <v>22</v>
      </c>
      <c r="M23" s="1">
        <f t="shared" si="0"/>
        <v>0</v>
      </c>
      <c r="N23" s="1">
        <f t="shared" si="1"/>
        <v>0</v>
      </c>
      <c r="O23" s="1">
        <f t="shared" si="2"/>
        <v>0</v>
      </c>
      <c r="P23" s="1">
        <f t="shared" si="3"/>
        <v>0</v>
      </c>
      <c r="Q23" s="1">
        <f t="shared" si="13"/>
        <v>0</v>
      </c>
      <c r="R23" s="1">
        <f t="shared" si="4"/>
        <v>0</v>
      </c>
      <c r="S23" s="1">
        <f t="shared" si="5"/>
        <v>0</v>
      </c>
      <c r="T23" s="1">
        <f t="shared" si="6"/>
        <v>0</v>
      </c>
      <c r="U23" s="1">
        <f t="shared" si="7"/>
        <v>0</v>
      </c>
      <c r="V23" s="1">
        <f t="shared" si="14"/>
        <v>0</v>
      </c>
      <c r="W23" s="1">
        <f t="shared" si="8"/>
        <v>0</v>
      </c>
      <c r="X23" s="1">
        <f t="shared" si="9"/>
        <v>0</v>
      </c>
      <c r="Y23" s="1">
        <f t="shared" si="10"/>
        <v>0</v>
      </c>
      <c r="Z23" s="1">
        <f t="shared" si="11"/>
        <v>0</v>
      </c>
      <c r="AA23" s="1">
        <f t="shared" si="15"/>
        <v>0</v>
      </c>
    </row>
    <row r="24" spans="2:27" x14ac:dyDescent="0.3">
      <c r="L24">
        <v>23</v>
      </c>
      <c r="M24" s="1">
        <f t="shared" si="0"/>
        <v>0</v>
      </c>
      <c r="N24" s="1">
        <f t="shared" si="1"/>
        <v>0</v>
      </c>
      <c r="O24" s="1">
        <f t="shared" si="2"/>
        <v>0</v>
      </c>
      <c r="P24" s="1">
        <f t="shared" si="3"/>
        <v>0</v>
      </c>
      <c r="Q24" s="1">
        <f t="shared" si="13"/>
        <v>0</v>
      </c>
      <c r="R24" s="1">
        <f t="shared" si="4"/>
        <v>0</v>
      </c>
      <c r="S24" s="1">
        <f t="shared" si="5"/>
        <v>0</v>
      </c>
      <c r="T24" s="1">
        <f t="shared" si="6"/>
        <v>0</v>
      </c>
      <c r="U24" s="1">
        <f t="shared" si="7"/>
        <v>0</v>
      </c>
      <c r="V24" s="1">
        <f t="shared" si="14"/>
        <v>0</v>
      </c>
      <c r="W24" s="1">
        <f t="shared" si="8"/>
        <v>0</v>
      </c>
      <c r="X24" s="1">
        <f t="shared" si="9"/>
        <v>0</v>
      </c>
      <c r="Y24" s="1">
        <f t="shared" si="10"/>
        <v>0</v>
      </c>
      <c r="Z24" s="1">
        <f t="shared" si="11"/>
        <v>0</v>
      </c>
      <c r="AA24" s="1">
        <f t="shared" si="15"/>
        <v>0</v>
      </c>
    </row>
    <row r="25" spans="2:27" x14ac:dyDescent="0.3">
      <c r="L25">
        <v>24</v>
      </c>
      <c r="M25" s="1">
        <f t="shared" si="0"/>
        <v>0</v>
      </c>
      <c r="N25" s="1">
        <f t="shared" si="1"/>
        <v>0</v>
      </c>
      <c r="O25" s="1">
        <f t="shared" si="2"/>
        <v>0</v>
      </c>
      <c r="P25" s="1">
        <f t="shared" si="3"/>
        <v>0</v>
      </c>
      <c r="Q25" s="1">
        <f t="shared" si="13"/>
        <v>0</v>
      </c>
      <c r="R25" s="1">
        <f t="shared" si="4"/>
        <v>0</v>
      </c>
      <c r="S25" s="1">
        <f t="shared" si="5"/>
        <v>0</v>
      </c>
      <c r="T25" s="1">
        <f t="shared" si="6"/>
        <v>0</v>
      </c>
      <c r="U25" s="1">
        <f t="shared" si="7"/>
        <v>0</v>
      </c>
      <c r="V25" s="1">
        <f t="shared" si="14"/>
        <v>0</v>
      </c>
      <c r="W25" s="1">
        <f t="shared" si="8"/>
        <v>0</v>
      </c>
      <c r="X25" s="1">
        <f t="shared" si="9"/>
        <v>0</v>
      </c>
      <c r="Y25" s="1">
        <f t="shared" si="10"/>
        <v>0</v>
      </c>
      <c r="Z25" s="1">
        <f t="shared" si="11"/>
        <v>0</v>
      </c>
      <c r="AA25" s="1">
        <f t="shared" si="15"/>
        <v>0</v>
      </c>
    </row>
    <row r="26" spans="2:27" x14ac:dyDescent="0.3">
      <c r="L26">
        <v>25</v>
      </c>
      <c r="M26" s="1">
        <f t="shared" si="0"/>
        <v>0</v>
      </c>
      <c r="N26" s="1">
        <f t="shared" si="1"/>
        <v>0</v>
      </c>
      <c r="O26" s="1">
        <f t="shared" si="2"/>
        <v>0</v>
      </c>
      <c r="P26" s="1">
        <f t="shared" si="3"/>
        <v>0</v>
      </c>
      <c r="Q26" s="1">
        <f t="shared" si="13"/>
        <v>0</v>
      </c>
      <c r="R26" s="1">
        <f t="shared" si="4"/>
        <v>0</v>
      </c>
      <c r="S26" s="1">
        <f t="shared" si="5"/>
        <v>0</v>
      </c>
      <c r="T26" s="1">
        <f t="shared" si="6"/>
        <v>0</v>
      </c>
      <c r="U26" s="1">
        <f t="shared" si="7"/>
        <v>0</v>
      </c>
      <c r="V26" s="1">
        <f t="shared" si="14"/>
        <v>0</v>
      </c>
      <c r="W26" s="1">
        <f t="shared" si="8"/>
        <v>0</v>
      </c>
      <c r="X26" s="1">
        <f t="shared" si="9"/>
        <v>0</v>
      </c>
      <c r="Y26" s="1">
        <f t="shared" si="10"/>
        <v>0</v>
      </c>
      <c r="Z26" s="1">
        <f t="shared" si="11"/>
        <v>0</v>
      </c>
      <c r="AA26" s="1">
        <f t="shared" si="15"/>
        <v>0</v>
      </c>
    </row>
    <row r="27" spans="2:27" x14ac:dyDescent="0.3">
      <c r="L27">
        <v>26</v>
      </c>
      <c r="M27" s="1">
        <f t="shared" si="0"/>
        <v>0</v>
      </c>
      <c r="N27" s="1">
        <f t="shared" si="1"/>
        <v>0</v>
      </c>
      <c r="O27" s="1">
        <f t="shared" si="2"/>
        <v>0</v>
      </c>
      <c r="P27" s="1">
        <f t="shared" si="3"/>
        <v>0</v>
      </c>
      <c r="Q27" s="1">
        <f t="shared" si="13"/>
        <v>0</v>
      </c>
      <c r="R27" s="1">
        <f t="shared" si="4"/>
        <v>0</v>
      </c>
      <c r="S27" s="1">
        <f t="shared" si="5"/>
        <v>0</v>
      </c>
      <c r="T27" s="1">
        <f t="shared" si="6"/>
        <v>0</v>
      </c>
      <c r="U27" s="1">
        <f t="shared" si="7"/>
        <v>0</v>
      </c>
      <c r="V27" s="1">
        <f t="shared" si="14"/>
        <v>0</v>
      </c>
      <c r="W27" s="1">
        <f t="shared" si="8"/>
        <v>0</v>
      </c>
      <c r="X27" s="1">
        <f t="shared" si="9"/>
        <v>0</v>
      </c>
      <c r="Y27" s="1">
        <f t="shared" si="10"/>
        <v>0</v>
      </c>
      <c r="Z27" s="1">
        <f t="shared" si="11"/>
        <v>0</v>
      </c>
      <c r="AA27" s="1">
        <f t="shared" si="15"/>
        <v>0</v>
      </c>
    </row>
    <row r="28" spans="2:27" x14ac:dyDescent="0.3">
      <c r="L28">
        <v>27</v>
      </c>
      <c r="M28" s="1">
        <f t="shared" si="0"/>
        <v>0</v>
      </c>
      <c r="N28" s="1">
        <f t="shared" si="1"/>
        <v>0</v>
      </c>
      <c r="O28" s="1">
        <f t="shared" si="2"/>
        <v>0</v>
      </c>
      <c r="P28" s="1">
        <f t="shared" si="3"/>
        <v>0</v>
      </c>
      <c r="Q28" s="1">
        <f t="shared" si="13"/>
        <v>0</v>
      </c>
      <c r="R28" s="1">
        <f t="shared" si="4"/>
        <v>0</v>
      </c>
      <c r="S28" s="1">
        <f t="shared" si="5"/>
        <v>0</v>
      </c>
      <c r="T28" s="1">
        <f t="shared" si="6"/>
        <v>0</v>
      </c>
      <c r="U28" s="1">
        <f t="shared" si="7"/>
        <v>0</v>
      </c>
      <c r="V28" s="1">
        <f t="shared" si="14"/>
        <v>0</v>
      </c>
      <c r="W28" s="1">
        <f t="shared" si="8"/>
        <v>0</v>
      </c>
      <c r="X28" s="1">
        <f t="shared" si="9"/>
        <v>0</v>
      </c>
      <c r="Y28" s="1">
        <f t="shared" si="10"/>
        <v>0</v>
      </c>
      <c r="Z28" s="1">
        <f t="shared" si="11"/>
        <v>0</v>
      </c>
      <c r="AA28" s="1">
        <f t="shared" si="15"/>
        <v>0</v>
      </c>
    </row>
    <row r="29" spans="2:27" x14ac:dyDescent="0.3">
      <c r="L29">
        <v>28</v>
      </c>
      <c r="M29" s="1">
        <f t="shared" si="0"/>
        <v>0</v>
      </c>
      <c r="N29" s="1">
        <f t="shared" si="1"/>
        <v>0</v>
      </c>
      <c r="O29" s="1">
        <f t="shared" si="2"/>
        <v>0</v>
      </c>
      <c r="P29" s="1">
        <f t="shared" si="3"/>
        <v>0</v>
      </c>
      <c r="Q29" s="1">
        <f t="shared" si="13"/>
        <v>0</v>
      </c>
      <c r="R29" s="1">
        <f t="shared" si="4"/>
        <v>0</v>
      </c>
      <c r="S29" s="1">
        <f t="shared" si="5"/>
        <v>0</v>
      </c>
      <c r="T29" s="1">
        <f t="shared" si="6"/>
        <v>0</v>
      </c>
      <c r="U29" s="1">
        <f t="shared" si="7"/>
        <v>0</v>
      </c>
      <c r="V29" s="1">
        <f t="shared" si="14"/>
        <v>0</v>
      </c>
      <c r="W29" s="1">
        <f t="shared" si="8"/>
        <v>0</v>
      </c>
      <c r="X29" s="1">
        <f t="shared" si="9"/>
        <v>0</v>
      </c>
      <c r="Y29" s="1">
        <f t="shared" si="10"/>
        <v>0</v>
      </c>
      <c r="Z29" s="1">
        <f t="shared" si="11"/>
        <v>0</v>
      </c>
      <c r="AA29" s="1">
        <f t="shared" si="15"/>
        <v>0</v>
      </c>
    </row>
    <row r="30" spans="2:27" x14ac:dyDescent="0.3">
      <c r="L30">
        <v>29</v>
      </c>
      <c r="M30" s="1">
        <f t="shared" si="0"/>
        <v>0</v>
      </c>
      <c r="N30" s="1">
        <f t="shared" si="1"/>
        <v>0</v>
      </c>
      <c r="O30" s="1">
        <f t="shared" si="2"/>
        <v>0</v>
      </c>
      <c r="P30" s="1">
        <f t="shared" si="3"/>
        <v>0</v>
      </c>
      <c r="Q30" s="1">
        <f t="shared" si="13"/>
        <v>0</v>
      </c>
      <c r="R30" s="1">
        <f t="shared" si="4"/>
        <v>0</v>
      </c>
      <c r="S30" s="1">
        <f t="shared" si="5"/>
        <v>0</v>
      </c>
      <c r="T30" s="1">
        <f t="shared" si="6"/>
        <v>0</v>
      </c>
      <c r="U30" s="1">
        <f t="shared" si="7"/>
        <v>0</v>
      </c>
      <c r="V30" s="1">
        <f t="shared" si="14"/>
        <v>0</v>
      </c>
      <c r="W30" s="1">
        <f t="shared" si="8"/>
        <v>0</v>
      </c>
      <c r="X30" s="1">
        <f t="shared" si="9"/>
        <v>0</v>
      </c>
      <c r="Y30" s="1">
        <f t="shared" si="10"/>
        <v>0</v>
      </c>
      <c r="Z30" s="1">
        <f t="shared" si="11"/>
        <v>0</v>
      </c>
      <c r="AA30" s="1">
        <f t="shared" si="15"/>
        <v>0</v>
      </c>
    </row>
    <row r="31" spans="2:27" x14ac:dyDescent="0.3">
      <c r="L31">
        <v>30</v>
      </c>
      <c r="M31" s="1">
        <f t="shared" si="0"/>
        <v>0</v>
      </c>
      <c r="N31" s="1">
        <f t="shared" si="1"/>
        <v>0</v>
      </c>
      <c r="O31" s="1">
        <f t="shared" si="2"/>
        <v>0</v>
      </c>
      <c r="P31" s="1">
        <f t="shared" si="3"/>
        <v>0</v>
      </c>
      <c r="Q31" s="1">
        <f t="shared" si="13"/>
        <v>0</v>
      </c>
      <c r="R31" s="1">
        <f t="shared" si="4"/>
        <v>0</v>
      </c>
      <c r="S31" s="1">
        <f t="shared" si="5"/>
        <v>0</v>
      </c>
      <c r="T31" s="1">
        <f t="shared" si="6"/>
        <v>0</v>
      </c>
      <c r="U31" s="1">
        <f t="shared" si="7"/>
        <v>0</v>
      </c>
      <c r="V31" s="1">
        <f t="shared" si="14"/>
        <v>0</v>
      </c>
      <c r="W31" s="1">
        <f t="shared" si="8"/>
        <v>0</v>
      </c>
      <c r="X31" s="1">
        <f t="shared" si="9"/>
        <v>0</v>
      </c>
      <c r="Y31" s="1">
        <f t="shared" si="10"/>
        <v>0</v>
      </c>
      <c r="Z31" s="1">
        <f t="shared" si="11"/>
        <v>0</v>
      </c>
      <c r="AA31" s="1">
        <f t="shared" si="15"/>
        <v>0</v>
      </c>
    </row>
    <row r="32" spans="2:27" x14ac:dyDescent="0.3">
      <c r="L32">
        <v>31</v>
      </c>
      <c r="M32" s="1">
        <f t="shared" si="0"/>
        <v>0</v>
      </c>
      <c r="N32" s="1">
        <f t="shared" si="1"/>
        <v>0</v>
      </c>
      <c r="O32" s="1">
        <f t="shared" si="2"/>
        <v>0</v>
      </c>
      <c r="P32" s="1">
        <f t="shared" si="3"/>
        <v>0</v>
      </c>
      <c r="Q32" s="1">
        <f t="shared" si="13"/>
        <v>0</v>
      </c>
      <c r="R32" s="1">
        <f t="shared" si="4"/>
        <v>0</v>
      </c>
      <c r="S32" s="1">
        <f t="shared" si="5"/>
        <v>0</v>
      </c>
      <c r="T32" s="1">
        <f t="shared" si="6"/>
        <v>0</v>
      </c>
      <c r="U32" s="1">
        <f t="shared" si="7"/>
        <v>0</v>
      </c>
      <c r="V32" s="1">
        <f t="shared" si="14"/>
        <v>0</v>
      </c>
      <c r="W32" s="1">
        <f t="shared" si="8"/>
        <v>0</v>
      </c>
      <c r="X32" s="1">
        <f t="shared" si="9"/>
        <v>0</v>
      </c>
      <c r="Y32" s="1">
        <f t="shared" si="10"/>
        <v>0</v>
      </c>
      <c r="Z32" s="1">
        <f t="shared" si="11"/>
        <v>0</v>
      </c>
      <c r="AA32" s="1">
        <f t="shared" si="15"/>
        <v>0</v>
      </c>
    </row>
    <row r="33" spans="12:27" x14ac:dyDescent="0.3">
      <c r="L33">
        <v>32</v>
      </c>
      <c r="M33" s="1">
        <f t="shared" si="0"/>
        <v>0</v>
      </c>
      <c r="N33" s="1">
        <f t="shared" si="1"/>
        <v>0</v>
      </c>
      <c r="O33" s="1">
        <f t="shared" si="2"/>
        <v>0</v>
      </c>
      <c r="P33" s="1">
        <f t="shared" si="3"/>
        <v>0</v>
      </c>
      <c r="Q33" s="1">
        <f t="shared" si="13"/>
        <v>0</v>
      </c>
      <c r="R33" s="1">
        <f t="shared" si="4"/>
        <v>0</v>
      </c>
      <c r="S33" s="1">
        <f t="shared" si="5"/>
        <v>0</v>
      </c>
      <c r="T33" s="1">
        <f t="shared" si="6"/>
        <v>0</v>
      </c>
      <c r="U33" s="1">
        <f t="shared" si="7"/>
        <v>0</v>
      </c>
      <c r="V33" s="1">
        <f t="shared" si="14"/>
        <v>0</v>
      </c>
      <c r="W33" s="1">
        <f t="shared" si="8"/>
        <v>0</v>
      </c>
      <c r="X33" s="1">
        <f t="shared" si="9"/>
        <v>0</v>
      </c>
      <c r="Y33" s="1">
        <f t="shared" si="10"/>
        <v>0</v>
      </c>
      <c r="Z33" s="1">
        <f t="shared" si="11"/>
        <v>0</v>
      </c>
      <c r="AA33" s="1">
        <f t="shared" si="15"/>
        <v>0</v>
      </c>
    </row>
    <row r="34" spans="12:27" x14ac:dyDescent="0.3">
      <c r="L34">
        <v>33</v>
      </c>
      <c r="M34" s="1">
        <f t="shared" si="0"/>
        <v>0</v>
      </c>
      <c r="N34" s="1">
        <f t="shared" si="1"/>
        <v>0</v>
      </c>
      <c r="O34" s="1">
        <f t="shared" si="2"/>
        <v>0</v>
      </c>
      <c r="P34" s="1">
        <f t="shared" si="3"/>
        <v>0</v>
      </c>
      <c r="Q34" s="1">
        <f t="shared" si="13"/>
        <v>0</v>
      </c>
      <c r="R34" s="1">
        <f t="shared" si="4"/>
        <v>0</v>
      </c>
      <c r="S34" s="1">
        <f t="shared" si="5"/>
        <v>0</v>
      </c>
      <c r="T34" s="1">
        <f t="shared" si="6"/>
        <v>0</v>
      </c>
      <c r="U34" s="1">
        <f t="shared" si="7"/>
        <v>0</v>
      </c>
      <c r="V34" s="1">
        <f t="shared" si="14"/>
        <v>0</v>
      </c>
      <c r="W34" s="1">
        <f t="shared" si="8"/>
        <v>0</v>
      </c>
      <c r="X34" s="1">
        <f t="shared" si="9"/>
        <v>0</v>
      </c>
      <c r="Y34" s="1">
        <f t="shared" si="10"/>
        <v>0</v>
      </c>
      <c r="Z34" s="1">
        <f t="shared" si="11"/>
        <v>0</v>
      </c>
      <c r="AA34" s="1">
        <f t="shared" si="15"/>
        <v>0</v>
      </c>
    </row>
    <row r="35" spans="12:27" x14ac:dyDescent="0.3">
      <c r="L35">
        <v>34</v>
      </c>
      <c r="M35" s="1">
        <f t="shared" si="0"/>
        <v>0</v>
      </c>
      <c r="N35" s="1">
        <f t="shared" si="1"/>
        <v>0</v>
      </c>
      <c r="O35" s="1">
        <f t="shared" si="2"/>
        <v>0</v>
      </c>
      <c r="P35" s="1">
        <f t="shared" si="3"/>
        <v>0</v>
      </c>
      <c r="Q35" s="1">
        <f t="shared" si="13"/>
        <v>0</v>
      </c>
      <c r="R35" s="1">
        <f t="shared" si="4"/>
        <v>0</v>
      </c>
      <c r="S35" s="1">
        <f t="shared" si="5"/>
        <v>0</v>
      </c>
      <c r="T35" s="1">
        <f t="shared" si="6"/>
        <v>0</v>
      </c>
      <c r="U35" s="1">
        <f t="shared" si="7"/>
        <v>0</v>
      </c>
      <c r="V35" s="1">
        <f t="shared" si="14"/>
        <v>0</v>
      </c>
      <c r="W35" s="1">
        <f t="shared" si="8"/>
        <v>0</v>
      </c>
      <c r="X35" s="1">
        <f t="shared" si="9"/>
        <v>0</v>
      </c>
      <c r="Y35" s="1">
        <f t="shared" si="10"/>
        <v>0</v>
      </c>
      <c r="Z35" s="1">
        <f t="shared" si="11"/>
        <v>0</v>
      </c>
      <c r="AA35" s="1">
        <f t="shared" si="15"/>
        <v>0</v>
      </c>
    </row>
    <row r="36" spans="12:27" x14ac:dyDescent="0.3">
      <c r="L36">
        <v>35</v>
      </c>
      <c r="M36" s="1">
        <f t="shared" si="0"/>
        <v>0</v>
      </c>
      <c r="N36" s="1">
        <f t="shared" si="1"/>
        <v>0</v>
      </c>
      <c r="O36" s="1">
        <f t="shared" si="2"/>
        <v>0</v>
      </c>
      <c r="P36" s="1">
        <f t="shared" si="3"/>
        <v>0</v>
      </c>
      <c r="Q36" s="1">
        <f t="shared" si="13"/>
        <v>0</v>
      </c>
      <c r="R36" s="1">
        <f t="shared" si="4"/>
        <v>0</v>
      </c>
      <c r="S36" s="1">
        <f t="shared" si="5"/>
        <v>0</v>
      </c>
      <c r="T36" s="1">
        <f t="shared" si="6"/>
        <v>0</v>
      </c>
      <c r="U36" s="1">
        <f t="shared" si="7"/>
        <v>0</v>
      </c>
      <c r="V36" s="1">
        <f t="shared" si="14"/>
        <v>0</v>
      </c>
      <c r="W36" s="1">
        <f t="shared" si="8"/>
        <v>0</v>
      </c>
      <c r="X36" s="1">
        <f t="shared" si="9"/>
        <v>0</v>
      </c>
      <c r="Y36" s="1">
        <f t="shared" si="10"/>
        <v>0</v>
      </c>
      <c r="Z36" s="1">
        <f t="shared" si="11"/>
        <v>0</v>
      </c>
      <c r="AA36" s="1">
        <f t="shared" si="15"/>
        <v>0</v>
      </c>
    </row>
    <row r="37" spans="12:27" x14ac:dyDescent="0.3">
      <c r="L37">
        <v>36</v>
      </c>
      <c r="M37" s="1">
        <f t="shared" si="0"/>
        <v>0</v>
      </c>
      <c r="N37" s="1">
        <f t="shared" si="1"/>
        <v>0</v>
      </c>
      <c r="O37" s="1">
        <f t="shared" si="2"/>
        <v>0</v>
      </c>
      <c r="P37" s="1">
        <f t="shared" si="3"/>
        <v>0</v>
      </c>
      <c r="Q37" s="1">
        <f t="shared" si="13"/>
        <v>0</v>
      </c>
      <c r="R37" s="1">
        <f t="shared" si="4"/>
        <v>0</v>
      </c>
      <c r="S37" s="1">
        <f t="shared" si="5"/>
        <v>0</v>
      </c>
      <c r="T37" s="1">
        <f t="shared" si="6"/>
        <v>0</v>
      </c>
      <c r="U37" s="1">
        <f t="shared" si="7"/>
        <v>0</v>
      </c>
      <c r="V37" s="1">
        <f t="shared" si="14"/>
        <v>0</v>
      </c>
      <c r="W37" s="1">
        <f t="shared" si="8"/>
        <v>0</v>
      </c>
      <c r="X37" s="1">
        <f t="shared" si="9"/>
        <v>0</v>
      </c>
      <c r="Y37" s="1">
        <f t="shared" si="10"/>
        <v>0</v>
      </c>
      <c r="Z37" s="1">
        <f t="shared" si="11"/>
        <v>0</v>
      </c>
      <c r="AA37" s="1">
        <f t="shared" si="15"/>
        <v>0</v>
      </c>
    </row>
    <row r="38" spans="12:27" x14ac:dyDescent="0.3">
      <c r="L38">
        <v>37</v>
      </c>
      <c r="M38" s="1">
        <f t="shared" si="0"/>
        <v>0</v>
      </c>
      <c r="N38" s="1">
        <f t="shared" si="1"/>
        <v>0</v>
      </c>
      <c r="O38" s="1">
        <f t="shared" si="2"/>
        <v>0</v>
      </c>
      <c r="P38" s="1">
        <f t="shared" si="3"/>
        <v>0</v>
      </c>
      <c r="Q38" s="1">
        <f t="shared" si="13"/>
        <v>0</v>
      </c>
      <c r="R38" s="1">
        <f t="shared" si="4"/>
        <v>0</v>
      </c>
      <c r="S38" s="1">
        <f t="shared" si="5"/>
        <v>0</v>
      </c>
      <c r="T38" s="1">
        <f t="shared" si="6"/>
        <v>0</v>
      </c>
      <c r="U38" s="1">
        <f t="shared" si="7"/>
        <v>0</v>
      </c>
      <c r="V38" s="1">
        <f t="shared" si="14"/>
        <v>0</v>
      </c>
      <c r="W38" s="1">
        <f t="shared" si="8"/>
        <v>0</v>
      </c>
      <c r="X38" s="1">
        <f t="shared" si="9"/>
        <v>0</v>
      </c>
      <c r="Y38" s="1">
        <f t="shared" si="10"/>
        <v>0</v>
      </c>
      <c r="Z38" s="1">
        <f t="shared" si="11"/>
        <v>0</v>
      </c>
      <c r="AA38" s="1">
        <f t="shared" si="15"/>
        <v>0</v>
      </c>
    </row>
    <row r="39" spans="12:27" x14ac:dyDescent="0.3">
      <c r="L39">
        <v>38</v>
      </c>
      <c r="M39" s="1">
        <f t="shared" si="0"/>
        <v>0</v>
      </c>
      <c r="N39" s="1">
        <f t="shared" si="1"/>
        <v>0</v>
      </c>
      <c r="O39" s="1">
        <f t="shared" si="2"/>
        <v>0</v>
      </c>
      <c r="P39" s="1">
        <f t="shared" si="3"/>
        <v>0</v>
      </c>
      <c r="Q39" s="1">
        <f t="shared" si="13"/>
        <v>0</v>
      </c>
      <c r="R39" s="1">
        <f t="shared" si="4"/>
        <v>0</v>
      </c>
      <c r="S39" s="1">
        <f t="shared" si="5"/>
        <v>0</v>
      </c>
      <c r="T39" s="1">
        <f t="shared" si="6"/>
        <v>0</v>
      </c>
      <c r="U39" s="1">
        <f t="shared" si="7"/>
        <v>0</v>
      </c>
      <c r="V39" s="1">
        <f t="shared" si="14"/>
        <v>0</v>
      </c>
      <c r="W39" s="1">
        <f t="shared" si="8"/>
        <v>0</v>
      </c>
      <c r="X39" s="1">
        <f t="shared" si="9"/>
        <v>0</v>
      </c>
      <c r="Y39" s="1">
        <f t="shared" si="10"/>
        <v>0</v>
      </c>
      <c r="Z39" s="1">
        <f t="shared" si="11"/>
        <v>0</v>
      </c>
      <c r="AA39" s="1">
        <f t="shared" si="15"/>
        <v>0</v>
      </c>
    </row>
    <row r="40" spans="12:27" x14ac:dyDescent="0.3">
      <c r="L40">
        <v>39</v>
      </c>
      <c r="M40" s="1">
        <f t="shared" si="0"/>
        <v>0</v>
      </c>
      <c r="N40" s="1">
        <f t="shared" si="1"/>
        <v>0</v>
      </c>
      <c r="O40" s="1">
        <f t="shared" si="2"/>
        <v>0</v>
      </c>
      <c r="P40" s="1">
        <f t="shared" si="3"/>
        <v>0</v>
      </c>
      <c r="Q40" s="1">
        <f t="shared" si="13"/>
        <v>0</v>
      </c>
      <c r="R40" s="1">
        <f t="shared" si="4"/>
        <v>0</v>
      </c>
      <c r="S40" s="1">
        <f t="shared" si="5"/>
        <v>0</v>
      </c>
      <c r="T40" s="1">
        <f t="shared" si="6"/>
        <v>0</v>
      </c>
      <c r="U40" s="1">
        <f t="shared" si="7"/>
        <v>0</v>
      </c>
      <c r="V40" s="1">
        <f t="shared" si="14"/>
        <v>0</v>
      </c>
      <c r="W40" s="1">
        <f t="shared" si="8"/>
        <v>0</v>
      </c>
      <c r="X40" s="1">
        <f t="shared" si="9"/>
        <v>0</v>
      </c>
      <c r="Y40" s="1">
        <f t="shared" si="10"/>
        <v>0</v>
      </c>
      <c r="Z40" s="1">
        <f t="shared" si="11"/>
        <v>0</v>
      </c>
      <c r="AA40" s="1">
        <f t="shared" si="15"/>
        <v>0</v>
      </c>
    </row>
    <row r="41" spans="12:27" x14ac:dyDescent="0.3">
      <c r="L41">
        <v>40</v>
      </c>
      <c r="M41" s="1">
        <f t="shared" si="0"/>
        <v>0</v>
      </c>
      <c r="N41" s="1">
        <f t="shared" si="1"/>
        <v>0</v>
      </c>
      <c r="O41" s="1">
        <f t="shared" si="2"/>
        <v>0</v>
      </c>
      <c r="P41" s="1">
        <f t="shared" si="3"/>
        <v>0</v>
      </c>
      <c r="Q41" s="1">
        <f t="shared" si="13"/>
        <v>0</v>
      </c>
      <c r="R41" s="1">
        <f t="shared" si="4"/>
        <v>0</v>
      </c>
      <c r="S41" s="1">
        <f t="shared" si="5"/>
        <v>0</v>
      </c>
      <c r="T41" s="1">
        <f t="shared" si="6"/>
        <v>0</v>
      </c>
      <c r="U41" s="1">
        <f t="shared" si="7"/>
        <v>0</v>
      </c>
      <c r="V41" s="1">
        <f t="shared" si="14"/>
        <v>0</v>
      </c>
      <c r="W41" s="1">
        <f t="shared" si="8"/>
        <v>0</v>
      </c>
      <c r="X41" s="1">
        <f t="shared" si="9"/>
        <v>0</v>
      </c>
      <c r="Y41" s="1">
        <f t="shared" si="10"/>
        <v>0</v>
      </c>
      <c r="Z41" s="1">
        <f t="shared" si="11"/>
        <v>0</v>
      </c>
      <c r="AA41" s="1">
        <f t="shared" si="15"/>
        <v>0</v>
      </c>
    </row>
    <row r="42" spans="12:27" x14ac:dyDescent="0.3">
      <c r="L42">
        <v>41</v>
      </c>
      <c r="M42" s="1">
        <f t="shared" si="0"/>
        <v>0</v>
      </c>
      <c r="N42" s="1">
        <f t="shared" si="1"/>
        <v>0</v>
      </c>
      <c r="O42" s="1">
        <f t="shared" si="2"/>
        <v>0</v>
      </c>
      <c r="P42" s="1">
        <f t="shared" si="3"/>
        <v>0</v>
      </c>
      <c r="Q42" s="1">
        <f t="shared" si="13"/>
        <v>0</v>
      </c>
      <c r="R42" s="1">
        <f t="shared" si="4"/>
        <v>0</v>
      </c>
      <c r="S42" s="1">
        <f t="shared" si="5"/>
        <v>0</v>
      </c>
      <c r="T42" s="1">
        <f t="shared" si="6"/>
        <v>0</v>
      </c>
      <c r="U42" s="1">
        <f t="shared" si="7"/>
        <v>0</v>
      </c>
      <c r="V42" s="1">
        <f t="shared" si="14"/>
        <v>0</v>
      </c>
      <c r="W42" s="1">
        <f t="shared" si="8"/>
        <v>0</v>
      </c>
      <c r="X42" s="1">
        <f t="shared" si="9"/>
        <v>0</v>
      </c>
      <c r="Y42" s="1">
        <f t="shared" si="10"/>
        <v>0</v>
      </c>
      <c r="Z42" s="1">
        <f t="shared" si="11"/>
        <v>0</v>
      </c>
      <c r="AA42" s="1">
        <f t="shared" si="15"/>
        <v>0</v>
      </c>
    </row>
    <row r="43" spans="12:27" x14ac:dyDescent="0.3">
      <c r="L43">
        <v>42</v>
      </c>
      <c r="M43" s="1">
        <f t="shared" si="0"/>
        <v>0</v>
      </c>
      <c r="N43" s="1">
        <f t="shared" si="1"/>
        <v>0</v>
      </c>
      <c r="O43" s="1">
        <f t="shared" si="2"/>
        <v>0</v>
      </c>
      <c r="P43" s="1">
        <f t="shared" si="3"/>
        <v>0</v>
      </c>
      <c r="Q43" s="1">
        <f t="shared" si="13"/>
        <v>0</v>
      </c>
      <c r="R43" s="1">
        <f t="shared" si="4"/>
        <v>0</v>
      </c>
      <c r="S43" s="1">
        <f t="shared" si="5"/>
        <v>0</v>
      </c>
      <c r="T43" s="1">
        <f t="shared" si="6"/>
        <v>0</v>
      </c>
      <c r="U43" s="1">
        <f t="shared" si="7"/>
        <v>0</v>
      </c>
      <c r="V43" s="1">
        <f t="shared" si="14"/>
        <v>0</v>
      </c>
      <c r="W43" s="1">
        <f t="shared" si="8"/>
        <v>0</v>
      </c>
      <c r="X43" s="1">
        <f t="shared" si="9"/>
        <v>0</v>
      </c>
      <c r="Y43" s="1">
        <f t="shared" si="10"/>
        <v>0</v>
      </c>
      <c r="Z43" s="1">
        <f t="shared" si="11"/>
        <v>0</v>
      </c>
      <c r="AA43" s="1">
        <f t="shared" si="15"/>
        <v>0</v>
      </c>
    </row>
    <row r="44" spans="12:27" x14ac:dyDescent="0.3">
      <c r="L44">
        <v>43</v>
      </c>
      <c r="M44" s="1">
        <f t="shared" si="0"/>
        <v>0</v>
      </c>
      <c r="N44" s="1">
        <f t="shared" si="1"/>
        <v>0</v>
      </c>
      <c r="O44" s="1">
        <f t="shared" si="2"/>
        <v>0</v>
      </c>
      <c r="P44" s="1">
        <f t="shared" si="3"/>
        <v>0</v>
      </c>
      <c r="Q44" s="1">
        <f t="shared" si="13"/>
        <v>0</v>
      </c>
      <c r="R44" s="1">
        <f t="shared" si="4"/>
        <v>0</v>
      </c>
      <c r="S44" s="1">
        <f t="shared" si="5"/>
        <v>0</v>
      </c>
      <c r="T44" s="1">
        <f t="shared" si="6"/>
        <v>0</v>
      </c>
      <c r="U44" s="1">
        <f t="shared" si="7"/>
        <v>0</v>
      </c>
      <c r="V44" s="1">
        <f t="shared" si="14"/>
        <v>0</v>
      </c>
      <c r="W44" s="1">
        <f t="shared" si="8"/>
        <v>0</v>
      </c>
      <c r="X44" s="1">
        <f t="shared" si="9"/>
        <v>0</v>
      </c>
      <c r="Y44" s="1">
        <f t="shared" si="10"/>
        <v>0</v>
      </c>
      <c r="Z44" s="1">
        <f t="shared" si="11"/>
        <v>0</v>
      </c>
      <c r="AA44" s="1">
        <f t="shared" si="15"/>
        <v>0</v>
      </c>
    </row>
    <row r="45" spans="12:27" x14ac:dyDescent="0.3">
      <c r="L45">
        <v>44</v>
      </c>
      <c r="M45" s="1">
        <f t="shared" si="0"/>
        <v>0</v>
      </c>
      <c r="N45" s="1">
        <f t="shared" si="1"/>
        <v>0</v>
      </c>
      <c r="O45" s="1">
        <f t="shared" si="2"/>
        <v>0</v>
      </c>
      <c r="P45" s="1">
        <f t="shared" si="3"/>
        <v>0</v>
      </c>
      <c r="Q45" s="1">
        <f t="shared" si="13"/>
        <v>0</v>
      </c>
      <c r="R45" s="1">
        <f t="shared" si="4"/>
        <v>0</v>
      </c>
      <c r="S45" s="1">
        <f t="shared" si="5"/>
        <v>0</v>
      </c>
      <c r="T45" s="1">
        <f t="shared" si="6"/>
        <v>0</v>
      </c>
      <c r="U45" s="1">
        <f t="shared" si="7"/>
        <v>0</v>
      </c>
      <c r="V45" s="1">
        <f t="shared" si="14"/>
        <v>0</v>
      </c>
      <c r="W45" s="1">
        <f t="shared" si="8"/>
        <v>0</v>
      </c>
      <c r="X45" s="1">
        <f t="shared" si="9"/>
        <v>0</v>
      </c>
      <c r="Y45" s="1">
        <f t="shared" si="10"/>
        <v>0</v>
      </c>
      <c r="Z45" s="1">
        <f t="shared" si="11"/>
        <v>0</v>
      </c>
      <c r="AA45" s="1">
        <f t="shared" si="15"/>
        <v>0</v>
      </c>
    </row>
    <row r="46" spans="12:27" x14ac:dyDescent="0.3">
      <c r="L46">
        <v>45</v>
      </c>
      <c r="M46" s="1">
        <f t="shared" si="0"/>
        <v>0</v>
      </c>
      <c r="N46" s="1">
        <f t="shared" si="1"/>
        <v>0</v>
      </c>
      <c r="O46" s="1">
        <f t="shared" si="2"/>
        <v>0</v>
      </c>
      <c r="P46" s="1">
        <f t="shared" si="3"/>
        <v>0</v>
      </c>
      <c r="Q46" s="1">
        <f t="shared" si="13"/>
        <v>0</v>
      </c>
      <c r="R46" s="1">
        <f t="shared" si="4"/>
        <v>0</v>
      </c>
      <c r="S46" s="1">
        <f t="shared" si="5"/>
        <v>0</v>
      </c>
      <c r="T46" s="1">
        <f t="shared" si="6"/>
        <v>0</v>
      </c>
      <c r="U46" s="1">
        <f t="shared" si="7"/>
        <v>0</v>
      </c>
      <c r="V46" s="1">
        <f t="shared" si="14"/>
        <v>0</v>
      </c>
      <c r="W46" s="1">
        <f t="shared" si="8"/>
        <v>0</v>
      </c>
      <c r="X46" s="1">
        <f t="shared" si="9"/>
        <v>0</v>
      </c>
      <c r="Y46" s="1">
        <f t="shared" si="10"/>
        <v>0</v>
      </c>
      <c r="Z46" s="1">
        <f t="shared" si="11"/>
        <v>0</v>
      </c>
      <c r="AA46" s="1">
        <f t="shared" si="15"/>
        <v>0</v>
      </c>
    </row>
    <row r="47" spans="12:27" x14ac:dyDescent="0.3">
      <c r="L47">
        <v>46</v>
      </c>
      <c r="M47" s="1">
        <f t="shared" si="0"/>
        <v>0</v>
      </c>
      <c r="N47" s="1">
        <f t="shared" si="1"/>
        <v>0</v>
      </c>
      <c r="O47" s="1">
        <f t="shared" si="2"/>
        <v>0</v>
      </c>
      <c r="P47" s="1">
        <f t="shared" si="3"/>
        <v>0</v>
      </c>
      <c r="Q47" s="1">
        <f t="shared" si="13"/>
        <v>0</v>
      </c>
      <c r="R47" s="1">
        <f t="shared" si="4"/>
        <v>0</v>
      </c>
      <c r="S47" s="1">
        <f t="shared" si="5"/>
        <v>0</v>
      </c>
      <c r="T47" s="1">
        <f t="shared" si="6"/>
        <v>0</v>
      </c>
      <c r="U47" s="1">
        <f t="shared" si="7"/>
        <v>0</v>
      </c>
      <c r="V47" s="1">
        <f t="shared" si="14"/>
        <v>0</v>
      </c>
      <c r="W47" s="1">
        <f t="shared" si="8"/>
        <v>0</v>
      </c>
      <c r="X47" s="1">
        <f t="shared" si="9"/>
        <v>0</v>
      </c>
      <c r="Y47" s="1">
        <f t="shared" si="10"/>
        <v>0</v>
      </c>
      <c r="Z47" s="1">
        <f t="shared" si="11"/>
        <v>0</v>
      </c>
      <c r="AA47" s="1">
        <f t="shared" si="15"/>
        <v>0</v>
      </c>
    </row>
    <row r="48" spans="12:27" x14ac:dyDescent="0.3">
      <c r="L48">
        <v>47</v>
      </c>
      <c r="M48" s="1">
        <f t="shared" si="0"/>
        <v>0</v>
      </c>
      <c r="N48" s="1">
        <f t="shared" si="1"/>
        <v>0</v>
      </c>
      <c r="O48" s="1">
        <f t="shared" si="2"/>
        <v>0</v>
      </c>
      <c r="P48" s="1">
        <f t="shared" si="3"/>
        <v>0</v>
      </c>
      <c r="Q48" s="1">
        <f t="shared" si="13"/>
        <v>0</v>
      </c>
      <c r="R48" s="1">
        <f t="shared" si="4"/>
        <v>0</v>
      </c>
      <c r="S48" s="1">
        <f t="shared" si="5"/>
        <v>0</v>
      </c>
      <c r="T48" s="1">
        <f t="shared" si="6"/>
        <v>0</v>
      </c>
      <c r="U48" s="1">
        <f t="shared" si="7"/>
        <v>0</v>
      </c>
      <c r="V48" s="1">
        <f t="shared" si="14"/>
        <v>0</v>
      </c>
      <c r="W48" s="1">
        <f t="shared" si="8"/>
        <v>0</v>
      </c>
      <c r="X48" s="1">
        <f t="shared" si="9"/>
        <v>0</v>
      </c>
      <c r="Y48" s="1">
        <f t="shared" si="10"/>
        <v>0</v>
      </c>
      <c r="Z48" s="1">
        <f t="shared" si="11"/>
        <v>0</v>
      </c>
      <c r="AA48" s="1">
        <f t="shared" si="15"/>
        <v>0</v>
      </c>
    </row>
    <row r="49" spans="12:27" x14ac:dyDescent="0.3">
      <c r="L49">
        <v>48</v>
      </c>
      <c r="M49" s="1">
        <f t="shared" si="0"/>
        <v>0</v>
      </c>
      <c r="N49" s="1">
        <f t="shared" si="1"/>
        <v>0</v>
      </c>
      <c r="O49" s="1">
        <f t="shared" si="2"/>
        <v>0</v>
      </c>
      <c r="P49" s="1">
        <f t="shared" si="3"/>
        <v>0</v>
      </c>
      <c r="Q49" s="1">
        <f t="shared" si="13"/>
        <v>0</v>
      </c>
      <c r="R49" s="1">
        <f t="shared" si="4"/>
        <v>0</v>
      </c>
      <c r="S49" s="1">
        <f t="shared" si="5"/>
        <v>0</v>
      </c>
      <c r="T49" s="1">
        <f t="shared" si="6"/>
        <v>0</v>
      </c>
      <c r="U49" s="1">
        <f t="shared" si="7"/>
        <v>0</v>
      </c>
      <c r="V49" s="1">
        <f t="shared" si="14"/>
        <v>0</v>
      </c>
      <c r="W49" s="1">
        <f t="shared" si="8"/>
        <v>0</v>
      </c>
      <c r="X49" s="1">
        <f t="shared" si="9"/>
        <v>0</v>
      </c>
      <c r="Y49" s="1">
        <f t="shared" si="10"/>
        <v>0</v>
      </c>
      <c r="Z49" s="1">
        <f t="shared" si="11"/>
        <v>0</v>
      </c>
      <c r="AA49" s="1">
        <f t="shared" si="15"/>
        <v>0</v>
      </c>
    </row>
    <row r="50" spans="12:27" x14ac:dyDescent="0.3">
      <c r="L50">
        <v>49</v>
      </c>
      <c r="M50" s="1">
        <f t="shared" si="0"/>
        <v>0</v>
      </c>
      <c r="N50" s="1">
        <f t="shared" si="1"/>
        <v>0</v>
      </c>
      <c r="O50" s="1">
        <f t="shared" si="2"/>
        <v>0</v>
      </c>
      <c r="P50" s="1">
        <f t="shared" si="3"/>
        <v>0</v>
      </c>
      <c r="Q50" s="1">
        <f t="shared" si="13"/>
        <v>0</v>
      </c>
      <c r="R50" s="1">
        <f t="shared" si="4"/>
        <v>0</v>
      </c>
      <c r="S50" s="1">
        <f t="shared" si="5"/>
        <v>0</v>
      </c>
      <c r="T50" s="1">
        <f t="shared" si="6"/>
        <v>0</v>
      </c>
      <c r="U50" s="1">
        <f t="shared" si="7"/>
        <v>0</v>
      </c>
      <c r="V50" s="1">
        <f t="shared" si="14"/>
        <v>0</v>
      </c>
      <c r="W50" s="1">
        <f t="shared" si="8"/>
        <v>0</v>
      </c>
      <c r="X50" s="1">
        <f t="shared" si="9"/>
        <v>0</v>
      </c>
      <c r="Y50" s="1">
        <f t="shared" si="10"/>
        <v>0</v>
      </c>
      <c r="Z50" s="1">
        <f t="shared" si="11"/>
        <v>0</v>
      </c>
      <c r="AA50" s="1">
        <f t="shared" si="15"/>
        <v>0</v>
      </c>
    </row>
    <row r="51" spans="12:27" x14ac:dyDescent="0.3">
      <c r="L51">
        <v>50</v>
      </c>
      <c r="M51" s="1">
        <f t="shared" si="0"/>
        <v>0</v>
      </c>
      <c r="N51" s="1">
        <f t="shared" si="1"/>
        <v>0</v>
      </c>
      <c r="O51" s="1">
        <f t="shared" si="2"/>
        <v>0</v>
      </c>
      <c r="P51" s="1">
        <f t="shared" si="3"/>
        <v>0</v>
      </c>
      <c r="Q51" s="1">
        <f t="shared" si="13"/>
        <v>0</v>
      </c>
      <c r="R51" s="1">
        <f t="shared" si="4"/>
        <v>0</v>
      </c>
      <c r="S51" s="1">
        <f t="shared" si="5"/>
        <v>0</v>
      </c>
      <c r="T51" s="1">
        <f t="shared" si="6"/>
        <v>0</v>
      </c>
      <c r="U51" s="1">
        <f t="shared" si="7"/>
        <v>0</v>
      </c>
      <c r="V51" s="1">
        <f t="shared" si="14"/>
        <v>0</v>
      </c>
      <c r="W51" s="1">
        <f t="shared" si="8"/>
        <v>0</v>
      </c>
      <c r="X51" s="1">
        <f t="shared" si="9"/>
        <v>0</v>
      </c>
      <c r="Y51" s="1">
        <f t="shared" si="10"/>
        <v>0</v>
      </c>
      <c r="Z51" s="1">
        <f t="shared" si="11"/>
        <v>0</v>
      </c>
      <c r="AA51" s="1">
        <f t="shared" si="15"/>
        <v>0</v>
      </c>
    </row>
    <row r="52" spans="12:27" x14ac:dyDescent="0.3">
      <c r="L52">
        <v>51</v>
      </c>
      <c r="M52" s="1">
        <f t="shared" si="0"/>
        <v>0</v>
      </c>
      <c r="N52" s="1">
        <f t="shared" si="1"/>
        <v>0</v>
      </c>
      <c r="O52" s="1">
        <f t="shared" si="2"/>
        <v>0</v>
      </c>
      <c r="P52" s="1">
        <f t="shared" si="3"/>
        <v>0</v>
      </c>
      <c r="Q52" s="1">
        <f t="shared" si="13"/>
        <v>0</v>
      </c>
      <c r="R52" s="1">
        <f t="shared" si="4"/>
        <v>0</v>
      </c>
      <c r="S52" s="1">
        <f t="shared" si="5"/>
        <v>0</v>
      </c>
      <c r="T52" s="1">
        <f t="shared" si="6"/>
        <v>0</v>
      </c>
      <c r="U52" s="1">
        <f t="shared" si="7"/>
        <v>0</v>
      </c>
      <c r="V52" s="1">
        <f t="shared" si="14"/>
        <v>0</v>
      </c>
      <c r="W52" s="1">
        <f t="shared" si="8"/>
        <v>0</v>
      </c>
      <c r="X52" s="1">
        <f t="shared" si="9"/>
        <v>0</v>
      </c>
      <c r="Y52" s="1">
        <f t="shared" si="10"/>
        <v>0</v>
      </c>
      <c r="Z52" s="1">
        <f t="shared" si="11"/>
        <v>0</v>
      </c>
      <c r="AA52" s="1">
        <f t="shared" si="15"/>
        <v>0</v>
      </c>
    </row>
    <row r="53" spans="12:27" x14ac:dyDescent="0.3">
      <c r="L53">
        <v>52</v>
      </c>
      <c r="M53" s="1">
        <f t="shared" si="0"/>
        <v>0</v>
      </c>
      <c r="N53" s="1">
        <f t="shared" si="1"/>
        <v>0</v>
      </c>
      <c r="O53" s="1">
        <f t="shared" si="2"/>
        <v>0</v>
      </c>
      <c r="P53" s="1">
        <f t="shared" si="3"/>
        <v>0</v>
      </c>
      <c r="Q53" s="1">
        <f t="shared" si="13"/>
        <v>0</v>
      </c>
      <c r="R53" s="1">
        <f t="shared" si="4"/>
        <v>0</v>
      </c>
      <c r="S53" s="1">
        <f t="shared" si="5"/>
        <v>0</v>
      </c>
      <c r="T53" s="1">
        <f t="shared" si="6"/>
        <v>0</v>
      </c>
      <c r="U53" s="1">
        <f t="shared" si="7"/>
        <v>0</v>
      </c>
      <c r="V53" s="1">
        <f t="shared" si="14"/>
        <v>0</v>
      </c>
      <c r="W53" s="1">
        <f t="shared" si="8"/>
        <v>0</v>
      </c>
      <c r="X53" s="1">
        <f t="shared" si="9"/>
        <v>0</v>
      </c>
      <c r="Y53" s="1">
        <f t="shared" si="10"/>
        <v>0</v>
      </c>
      <c r="Z53" s="1">
        <f t="shared" si="11"/>
        <v>0</v>
      </c>
      <c r="AA53" s="1">
        <f t="shared" si="15"/>
        <v>0</v>
      </c>
    </row>
    <row r="54" spans="12:27" x14ac:dyDescent="0.3">
      <c r="L54">
        <v>53</v>
      </c>
      <c r="M54" s="1">
        <f t="shared" si="0"/>
        <v>0</v>
      </c>
      <c r="N54" s="1">
        <f t="shared" si="1"/>
        <v>0</v>
      </c>
      <c r="O54" s="1">
        <f t="shared" si="2"/>
        <v>0</v>
      </c>
      <c r="P54" s="1">
        <f t="shared" si="3"/>
        <v>0</v>
      </c>
      <c r="Q54" s="1">
        <f t="shared" si="13"/>
        <v>0</v>
      </c>
      <c r="R54" s="1">
        <f t="shared" si="4"/>
        <v>0</v>
      </c>
      <c r="S54" s="1">
        <f t="shared" si="5"/>
        <v>0</v>
      </c>
      <c r="T54" s="1">
        <f t="shared" si="6"/>
        <v>0</v>
      </c>
      <c r="U54" s="1">
        <f t="shared" si="7"/>
        <v>0</v>
      </c>
      <c r="V54" s="1">
        <f t="shared" si="14"/>
        <v>0</v>
      </c>
      <c r="W54" s="1">
        <f t="shared" si="8"/>
        <v>0</v>
      </c>
      <c r="X54" s="1">
        <f t="shared" si="9"/>
        <v>0</v>
      </c>
      <c r="Y54" s="1">
        <f t="shared" si="10"/>
        <v>0</v>
      </c>
      <c r="Z54" s="1">
        <f t="shared" si="11"/>
        <v>0</v>
      </c>
      <c r="AA54" s="1">
        <f t="shared" si="15"/>
        <v>0</v>
      </c>
    </row>
    <row r="55" spans="12:27" x14ac:dyDescent="0.3">
      <c r="L55">
        <v>54</v>
      </c>
      <c r="M55" s="1">
        <f t="shared" si="0"/>
        <v>0</v>
      </c>
      <c r="N55" s="1">
        <f t="shared" si="1"/>
        <v>0</v>
      </c>
      <c r="O55" s="1">
        <f t="shared" si="2"/>
        <v>0</v>
      </c>
      <c r="P55" s="1">
        <f t="shared" si="3"/>
        <v>0</v>
      </c>
      <c r="Q55" s="1">
        <f t="shared" si="13"/>
        <v>0</v>
      </c>
      <c r="R55" s="1">
        <f t="shared" si="4"/>
        <v>0</v>
      </c>
      <c r="S55" s="1">
        <f t="shared" si="5"/>
        <v>0</v>
      </c>
      <c r="T55" s="1">
        <f t="shared" si="6"/>
        <v>0</v>
      </c>
      <c r="U55" s="1">
        <f t="shared" si="7"/>
        <v>0</v>
      </c>
      <c r="V55" s="1">
        <f t="shared" si="14"/>
        <v>0</v>
      </c>
      <c r="W55" s="1">
        <f t="shared" si="8"/>
        <v>0</v>
      </c>
      <c r="X55" s="1">
        <f t="shared" si="9"/>
        <v>0</v>
      </c>
      <c r="Y55" s="1">
        <f t="shared" si="10"/>
        <v>0</v>
      </c>
      <c r="Z55" s="1">
        <f t="shared" si="11"/>
        <v>0</v>
      </c>
      <c r="AA55" s="1">
        <f t="shared" si="15"/>
        <v>0</v>
      </c>
    </row>
    <row r="56" spans="12:27" x14ac:dyDescent="0.3">
      <c r="L56">
        <v>55</v>
      </c>
      <c r="M56" s="1">
        <f t="shared" si="0"/>
        <v>0</v>
      </c>
      <c r="N56" s="1">
        <f t="shared" si="1"/>
        <v>0</v>
      </c>
      <c r="O56" s="1">
        <f t="shared" si="2"/>
        <v>0</v>
      </c>
      <c r="P56" s="1">
        <f t="shared" si="3"/>
        <v>0</v>
      </c>
      <c r="Q56" s="1">
        <f t="shared" si="13"/>
        <v>0</v>
      </c>
      <c r="R56" s="1">
        <f t="shared" si="4"/>
        <v>0</v>
      </c>
      <c r="S56" s="1">
        <f t="shared" si="5"/>
        <v>0</v>
      </c>
      <c r="T56" s="1">
        <f t="shared" si="6"/>
        <v>0</v>
      </c>
      <c r="U56" s="1">
        <f t="shared" si="7"/>
        <v>0</v>
      </c>
      <c r="V56" s="1">
        <f t="shared" si="14"/>
        <v>0</v>
      </c>
      <c r="W56" s="1">
        <f t="shared" si="8"/>
        <v>0</v>
      </c>
      <c r="X56" s="1">
        <f t="shared" si="9"/>
        <v>0</v>
      </c>
      <c r="Y56" s="1">
        <f t="shared" si="10"/>
        <v>0</v>
      </c>
      <c r="Z56" s="1">
        <f t="shared" si="11"/>
        <v>0</v>
      </c>
      <c r="AA56" s="1">
        <f t="shared" si="15"/>
        <v>0</v>
      </c>
    </row>
    <row r="57" spans="12:27" x14ac:dyDescent="0.3">
      <c r="L57">
        <v>56</v>
      </c>
      <c r="M57" s="1">
        <f t="shared" si="0"/>
        <v>0</v>
      </c>
      <c r="N57" s="1">
        <f t="shared" si="1"/>
        <v>0</v>
      </c>
      <c r="O57" s="1">
        <f t="shared" si="2"/>
        <v>0</v>
      </c>
      <c r="P57" s="1">
        <f t="shared" si="3"/>
        <v>0</v>
      </c>
      <c r="Q57" s="1">
        <f t="shared" si="13"/>
        <v>0</v>
      </c>
      <c r="R57" s="1">
        <f t="shared" si="4"/>
        <v>0</v>
      </c>
      <c r="S57" s="1">
        <f t="shared" si="5"/>
        <v>0</v>
      </c>
      <c r="T57" s="1">
        <f t="shared" si="6"/>
        <v>0</v>
      </c>
      <c r="U57" s="1">
        <f t="shared" si="7"/>
        <v>0</v>
      </c>
      <c r="V57" s="1">
        <f t="shared" si="14"/>
        <v>0</v>
      </c>
      <c r="W57" s="1">
        <f t="shared" si="8"/>
        <v>0</v>
      </c>
      <c r="X57" s="1">
        <f t="shared" si="9"/>
        <v>0</v>
      </c>
      <c r="Y57" s="1">
        <f t="shared" si="10"/>
        <v>0</v>
      </c>
      <c r="Z57" s="1">
        <f t="shared" si="11"/>
        <v>0</v>
      </c>
      <c r="AA57" s="1">
        <f t="shared" si="15"/>
        <v>0</v>
      </c>
    </row>
    <row r="58" spans="12:27" x14ac:dyDescent="0.3">
      <c r="L58">
        <v>57</v>
      </c>
      <c r="M58" s="1">
        <f t="shared" si="0"/>
        <v>0</v>
      </c>
      <c r="N58" s="1">
        <f t="shared" si="1"/>
        <v>0</v>
      </c>
      <c r="O58" s="1">
        <f t="shared" si="2"/>
        <v>0</v>
      </c>
      <c r="P58" s="1">
        <f t="shared" si="3"/>
        <v>0</v>
      </c>
      <c r="Q58" s="1">
        <f t="shared" si="13"/>
        <v>0</v>
      </c>
      <c r="R58" s="1">
        <f t="shared" si="4"/>
        <v>0</v>
      </c>
      <c r="S58" s="1">
        <f t="shared" si="5"/>
        <v>0</v>
      </c>
      <c r="T58" s="1">
        <f t="shared" si="6"/>
        <v>0</v>
      </c>
      <c r="U58" s="1">
        <f t="shared" si="7"/>
        <v>0</v>
      </c>
      <c r="V58" s="1">
        <f t="shared" si="14"/>
        <v>0</v>
      </c>
      <c r="W58" s="1">
        <f t="shared" si="8"/>
        <v>0</v>
      </c>
      <c r="X58" s="1">
        <f t="shared" si="9"/>
        <v>0</v>
      </c>
      <c r="Y58" s="1">
        <f t="shared" si="10"/>
        <v>0</v>
      </c>
      <c r="Z58" s="1">
        <f t="shared" si="11"/>
        <v>0</v>
      </c>
      <c r="AA58" s="1">
        <f t="shared" si="15"/>
        <v>0</v>
      </c>
    </row>
    <row r="59" spans="12:27" x14ac:dyDescent="0.3">
      <c r="L59">
        <v>58</v>
      </c>
      <c r="M59" s="1">
        <f t="shared" si="0"/>
        <v>0</v>
      </c>
      <c r="N59" s="1">
        <f t="shared" si="1"/>
        <v>0</v>
      </c>
      <c r="O59" s="1">
        <f t="shared" si="2"/>
        <v>0</v>
      </c>
      <c r="P59" s="1">
        <f t="shared" si="3"/>
        <v>0</v>
      </c>
      <c r="Q59" s="1">
        <f t="shared" si="13"/>
        <v>0</v>
      </c>
      <c r="R59" s="1">
        <f t="shared" si="4"/>
        <v>0</v>
      </c>
      <c r="S59" s="1">
        <f t="shared" si="5"/>
        <v>0</v>
      </c>
      <c r="T59" s="1">
        <f t="shared" si="6"/>
        <v>0</v>
      </c>
      <c r="U59" s="1">
        <f t="shared" si="7"/>
        <v>0</v>
      </c>
      <c r="V59" s="1">
        <f t="shared" si="14"/>
        <v>0</v>
      </c>
      <c r="W59" s="1">
        <f t="shared" si="8"/>
        <v>0</v>
      </c>
      <c r="X59" s="1">
        <f t="shared" si="9"/>
        <v>0</v>
      </c>
      <c r="Y59" s="1">
        <f t="shared" si="10"/>
        <v>0</v>
      </c>
      <c r="Z59" s="1">
        <f t="shared" si="11"/>
        <v>0</v>
      </c>
      <c r="AA59" s="1">
        <f t="shared" si="15"/>
        <v>0</v>
      </c>
    </row>
    <row r="60" spans="12:27" x14ac:dyDescent="0.3">
      <c r="L60">
        <v>59</v>
      </c>
      <c r="M60" s="1">
        <f t="shared" si="0"/>
        <v>0</v>
      </c>
      <c r="N60" s="1">
        <f t="shared" si="1"/>
        <v>0</v>
      </c>
      <c r="O60" s="1">
        <f t="shared" si="2"/>
        <v>0</v>
      </c>
      <c r="P60" s="1">
        <f t="shared" si="3"/>
        <v>0</v>
      </c>
      <c r="Q60" s="1">
        <f t="shared" si="13"/>
        <v>0</v>
      </c>
      <c r="R60" s="1">
        <f t="shared" si="4"/>
        <v>0</v>
      </c>
      <c r="S60" s="1">
        <f t="shared" si="5"/>
        <v>0</v>
      </c>
      <c r="T60" s="1">
        <f t="shared" si="6"/>
        <v>0</v>
      </c>
      <c r="U60" s="1">
        <f t="shared" si="7"/>
        <v>0</v>
      </c>
      <c r="V60" s="1">
        <f t="shared" si="14"/>
        <v>0</v>
      </c>
      <c r="W60" s="1">
        <f t="shared" si="8"/>
        <v>0</v>
      </c>
      <c r="X60" s="1">
        <f t="shared" si="9"/>
        <v>0</v>
      </c>
      <c r="Y60" s="1">
        <f t="shared" si="10"/>
        <v>0</v>
      </c>
      <c r="Z60" s="1">
        <f t="shared" si="11"/>
        <v>0</v>
      </c>
      <c r="AA60" s="1">
        <f t="shared" si="15"/>
        <v>0</v>
      </c>
    </row>
    <row r="61" spans="12:27" x14ac:dyDescent="0.3">
      <c r="L61">
        <v>60</v>
      </c>
      <c r="M61" s="1">
        <f t="shared" si="0"/>
        <v>0</v>
      </c>
      <c r="N61" s="1">
        <f t="shared" si="1"/>
        <v>0</v>
      </c>
      <c r="O61" s="1">
        <f t="shared" si="2"/>
        <v>0</v>
      </c>
      <c r="P61" s="1">
        <f t="shared" si="3"/>
        <v>0</v>
      </c>
      <c r="Q61" s="1">
        <f t="shared" si="13"/>
        <v>0</v>
      </c>
      <c r="R61" s="1">
        <f t="shared" si="4"/>
        <v>0</v>
      </c>
      <c r="S61" s="1">
        <f t="shared" si="5"/>
        <v>0</v>
      </c>
      <c r="T61" s="1">
        <f t="shared" si="6"/>
        <v>0</v>
      </c>
      <c r="U61" s="1">
        <f t="shared" si="7"/>
        <v>0</v>
      </c>
      <c r="V61" s="1">
        <f t="shared" si="14"/>
        <v>0</v>
      </c>
      <c r="W61" s="1">
        <f t="shared" si="8"/>
        <v>0</v>
      </c>
      <c r="X61" s="1">
        <f t="shared" si="9"/>
        <v>0</v>
      </c>
      <c r="Y61" s="1">
        <f t="shared" si="10"/>
        <v>0</v>
      </c>
      <c r="Z61" s="1">
        <f t="shared" si="11"/>
        <v>0</v>
      </c>
      <c r="AA61" s="1">
        <f t="shared" si="15"/>
        <v>0</v>
      </c>
    </row>
    <row r="62" spans="12:27" x14ac:dyDescent="0.3">
      <c r="L62">
        <v>61</v>
      </c>
      <c r="M62" s="1">
        <f t="shared" si="0"/>
        <v>0</v>
      </c>
      <c r="N62" s="1">
        <f t="shared" si="1"/>
        <v>0</v>
      </c>
      <c r="O62" s="1">
        <f t="shared" si="2"/>
        <v>0</v>
      </c>
      <c r="P62" s="1">
        <f t="shared" si="3"/>
        <v>0</v>
      </c>
      <c r="Q62" s="1">
        <f t="shared" si="13"/>
        <v>0</v>
      </c>
      <c r="R62" s="1">
        <f t="shared" si="4"/>
        <v>0</v>
      </c>
      <c r="S62" s="1">
        <f t="shared" si="5"/>
        <v>0</v>
      </c>
      <c r="T62" s="1">
        <f t="shared" si="6"/>
        <v>0</v>
      </c>
      <c r="U62" s="1">
        <f t="shared" si="7"/>
        <v>0</v>
      </c>
      <c r="V62" s="1">
        <f t="shared" si="14"/>
        <v>0</v>
      </c>
      <c r="W62" s="1">
        <f t="shared" si="8"/>
        <v>0</v>
      </c>
      <c r="X62" s="1">
        <f t="shared" si="9"/>
        <v>0</v>
      </c>
      <c r="Y62" s="1">
        <f t="shared" si="10"/>
        <v>0</v>
      </c>
      <c r="Z62" s="1">
        <f t="shared" si="11"/>
        <v>0</v>
      </c>
      <c r="AA62" s="1">
        <f t="shared" si="15"/>
        <v>0</v>
      </c>
    </row>
    <row r="63" spans="12:27" x14ac:dyDescent="0.3">
      <c r="L63">
        <v>62</v>
      </c>
      <c r="M63" s="1">
        <f t="shared" si="0"/>
        <v>0</v>
      </c>
      <c r="N63" s="1">
        <f t="shared" si="1"/>
        <v>0</v>
      </c>
      <c r="O63" s="1">
        <f t="shared" si="2"/>
        <v>0</v>
      </c>
      <c r="P63" s="1">
        <f t="shared" si="3"/>
        <v>0</v>
      </c>
      <c r="Q63" s="1">
        <f t="shared" si="13"/>
        <v>0</v>
      </c>
      <c r="R63" s="1">
        <f t="shared" si="4"/>
        <v>0</v>
      </c>
      <c r="S63" s="1">
        <f t="shared" si="5"/>
        <v>0</v>
      </c>
      <c r="T63" s="1">
        <f t="shared" si="6"/>
        <v>0</v>
      </c>
      <c r="U63" s="1">
        <f t="shared" si="7"/>
        <v>0</v>
      </c>
      <c r="V63" s="1">
        <f t="shared" si="14"/>
        <v>0</v>
      </c>
      <c r="W63" s="1">
        <f t="shared" si="8"/>
        <v>0</v>
      </c>
      <c r="X63" s="1">
        <f t="shared" si="9"/>
        <v>0</v>
      </c>
      <c r="Y63" s="1">
        <f t="shared" si="10"/>
        <v>0</v>
      </c>
      <c r="Z63" s="1">
        <f t="shared" si="11"/>
        <v>0</v>
      </c>
      <c r="AA63" s="1">
        <f t="shared" si="15"/>
        <v>0</v>
      </c>
    </row>
    <row r="64" spans="12:27" x14ac:dyDescent="0.3">
      <c r="L64">
        <v>63</v>
      </c>
      <c r="M64" s="1">
        <f t="shared" si="0"/>
        <v>0</v>
      </c>
      <c r="N64" s="1">
        <f t="shared" si="1"/>
        <v>0</v>
      </c>
      <c r="O64" s="1">
        <f t="shared" si="2"/>
        <v>0</v>
      </c>
      <c r="P64" s="1">
        <f t="shared" si="3"/>
        <v>0</v>
      </c>
      <c r="Q64" s="1">
        <f t="shared" si="13"/>
        <v>0</v>
      </c>
      <c r="R64" s="1">
        <f t="shared" si="4"/>
        <v>0</v>
      </c>
      <c r="S64" s="1">
        <f t="shared" si="5"/>
        <v>0</v>
      </c>
      <c r="T64" s="1">
        <f t="shared" si="6"/>
        <v>0</v>
      </c>
      <c r="U64" s="1">
        <f t="shared" si="7"/>
        <v>0</v>
      </c>
      <c r="V64" s="1">
        <f t="shared" si="14"/>
        <v>0</v>
      </c>
      <c r="W64" s="1">
        <f t="shared" si="8"/>
        <v>0</v>
      </c>
      <c r="X64" s="1">
        <f t="shared" si="9"/>
        <v>0</v>
      </c>
      <c r="Y64" s="1">
        <f t="shared" si="10"/>
        <v>0</v>
      </c>
      <c r="Z64" s="1">
        <f t="shared" si="11"/>
        <v>0</v>
      </c>
      <c r="AA64" s="1">
        <f t="shared" si="15"/>
        <v>0</v>
      </c>
    </row>
    <row r="65" spans="12:27" x14ac:dyDescent="0.3">
      <c r="L65">
        <v>64</v>
      </c>
      <c r="M65" s="1">
        <f t="shared" si="0"/>
        <v>0</v>
      </c>
      <c r="N65" s="1">
        <f t="shared" si="1"/>
        <v>0</v>
      </c>
      <c r="O65" s="1">
        <f t="shared" si="2"/>
        <v>0</v>
      </c>
      <c r="P65" s="1">
        <f t="shared" si="3"/>
        <v>0</v>
      </c>
      <c r="Q65" s="1">
        <f t="shared" si="13"/>
        <v>0</v>
      </c>
      <c r="R65" s="1">
        <f t="shared" si="4"/>
        <v>0</v>
      </c>
      <c r="S65" s="1">
        <f t="shared" si="5"/>
        <v>0</v>
      </c>
      <c r="T65" s="1">
        <f t="shared" si="6"/>
        <v>0</v>
      </c>
      <c r="U65" s="1">
        <f t="shared" si="7"/>
        <v>0</v>
      </c>
      <c r="V65" s="1">
        <f t="shared" si="14"/>
        <v>0</v>
      </c>
      <c r="W65" s="1">
        <f t="shared" si="8"/>
        <v>0</v>
      </c>
      <c r="X65" s="1">
        <f t="shared" si="9"/>
        <v>0</v>
      </c>
      <c r="Y65" s="1">
        <f t="shared" si="10"/>
        <v>0</v>
      </c>
      <c r="Z65" s="1">
        <f t="shared" si="11"/>
        <v>0</v>
      </c>
      <c r="AA65" s="1">
        <f t="shared" si="15"/>
        <v>0</v>
      </c>
    </row>
    <row r="66" spans="12:27" x14ac:dyDescent="0.3">
      <c r="L66">
        <v>65</v>
      </c>
      <c r="M66" s="1">
        <f t="shared" ref="M66:M129" si="16">MAX(IF(OR(kcjd&lt;jdplant1,kcjd&gt;jdplant1+C$21),0,kc.ini.1),M431)</f>
        <v>0</v>
      </c>
      <c r="N66" s="1">
        <f t="shared" ref="N66:N129" si="17">MAX(IF(OR(kcjd&lt;jdplant1+C$21,kcjd&gt;jdplant1+SUM(C$21,D$21)),0,+H$21+(kcjd-(jdplant1+C$21))/(jdplant1+SUM(C$21,D$21)-(jdplant1+C$21))*(I$21-H$21)),N431)</f>
        <v>0</v>
      </c>
      <c r="O66" s="1">
        <f t="shared" ref="O66:O129" si="18">MAX(IF(OR(kcjd&lt;jdplant1+SUM(C$21,D$21),kcjd&gt;jdplant1+SUM(C$21,D$21,E$21)),0,kc.mid.1),O431)</f>
        <v>0</v>
      </c>
      <c r="P66" s="1">
        <f t="shared" ref="P66:P129" si="19">MAX(IF(OR(kcjd&lt;jdplant1+SUM(C$21:E$21),kcjd&gt;jdplant1+G$21),0,+I$21-(kcjd-(jdplant1+SUM(C$21:E$21)))/((jdplant1+G$21)-(jdplant1+SUM(C$21:E$21)))*(I$21-J$21)),P431)</f>
        <v>0</v>
      </c>
      <c r="Q66" s="1">
        <f t="shared" si="13"/>
        <v>0</v>
      </c>
      <c r="R66" s="1">
        <f t="shared" ref="R66:R129" si="20">MAX(IF(OR(kcjd&lt;jdplant2,kcjd&gt;jdplant2+$C$22),0,kc.ini.2),R431)</f>
        <v>0</v>
      </c>
      <c r="S66" s="1">
        <f t="shared" ref="S66:S129" si="21">MAX(IF(OR(kcjd&lt;jdplant2+$C$22,kcjd&gt;jdplant2+SUM($C$22,$D$22)),0,+kc.ini.2+(kcjd-(jdplant2+$C$22))/(jdplant2+SUM($C$22,$D$22)-(jdplant2+$C$22))*(kc.mid.2-kc.ini.2)),S431)</f>
        <v>0</v>
      </c>
      <c r="T66" s="1">
        <f t="shared" ref="T66:T129" si="22">MAX(IF(OR(kcjd&lt;jdplant2+SUM($C$22,$D$22),kcjd&gt;jdplant2+SUM($C$22,$D$22,$E$22)),0,kc.mid.2),T431)</f>
        <v>0</v>
      </c>
      <c r="U66" s="1">
        <f t="shared" ref="U66:U129" si="23">MAX(IF(OR(kcjd&lt;jdplant2+SUM($C$22:$E$22),kcjd&gt;jdplant2+$G$22),0,+kc.mid.2-(kcjd-(jdplant2+SUM($C$22:$E$22)))/((jdplant2+$G$22)-(jdplant2+SUM($C$22:$E$22)))*(kc.mid.2-kc.late.2)),U431)</f>
        <v>0</v>
      </c>
      <c r="V66" s="1">
        <f t="shared" si="14"/>
        <v>0</v>
      </c>
      <c r="W66" s="1">
        <f t="shared" ref="W66:W129" si="24">MAX(IF(OR(kcjd&lt;jdplant3,kcjd&gt;jdplant3+$C$23),0,kc.ini.3),W431)</f>
        <v>0</v>
      </c>
      <c r="X66" s="1">
        <f t="shared" ref="X66:X129" si="25">MAX(IF(OR(kcjd&lt;jdplant3+$C$23,kcjd&gt;jdplant3+SUM($C$23,$D$23)),0,+kc.ini.3+(kcjd-(jdplant3+$C$23))/(jdplant3+SUM($C$23,$D$23)-(jdplant3+$C$23))*(kc.mid.3-kc.ini.3)),X431)</f>
        <v>0</v>
      </c>
      <c r="Y66" s="1">
        <f t="shared" ref="Y66:Y129" si="26">MAX(IF(OR(kcjd&lt;jdplant3+SUM($C$23,$D$23),kcjd&gt;jdplant3+SUM($C$23,$D$23,$E$23)),0,kc.mid.3),Y431)</f>
        <v>0</v>
      </c>
      <c r="Z66" s="1">
        <f t="shared" ref="Z66:Z129" si="27">MAX(IF(OR(kcjd&lt;jdplant3+SUM($C$23:$E$23),kcjd&gt;jdplant3+$G$23),0,+kc.mid.3-(kcjd-(jdplant3+SUM($C$23:$E$23)))/((jdplant3+$G$23)-(jdplant3+SUM($C$23:$E$23)))*(kc.mid.3-kc.late.3)),Z431)</f>
        <v>0</v>
      </c>
      <c r="AA66" s="1">
        <f t="shared" si="15"/>
        <v>0</v>
      </c>
    </row>
    <row r="67" spans="12:27" x14ac:dyDescent="0.3">
      <c r="L67">
        <v>66</v>
      </c>
      <c r="M67" s="1">
        <f t="shared" si="16"/>
        <v>0</v>
      </c>
      <c r="N67" s="1">
        <f t="shared" si="17"/>
        <v>0</v>
      </c>
      <c r="O67" s="1">
        <f t="shared" si="18"/>
        <v>0</v>
      </c>
      <c r="P67" s="1">
        <f t="shared" si="19"/>
        <v>0</v>
      </c>
      <c r="Q67" s="1">
        <f t="shared" ref="Q67:Q130" si="28">MAX(M67:P67)</f>
        <v>0</v>
      </c>
      <c r="R67" s="1">
        <f t="shared" si="20"/>
        <v>0</v>
      </c>
      <c r="S67" s="1">
        <f t="shared" si="21"/>
        <v>0</v>
      </c>
      <c r="T67" s="1">
        <f t="shared" si="22"/>
        <v>0</v>
      </c>
      <c r="U67" s="1">
        <f t="shared" si="23"/>
        <v>0</v>
      </c>
      <c r="V67" s="1">
        <f t="shared" ref="V67:V130" si="29">MAX(R67:U67)</f>
        <v>0</v>
      </c>
      <c r="W67" s="1">
        <f t="shared" si="24"/>
        <v>0</v>
      </c>
      <c r="X67" s="1">
        <f t="shared" si="25"/>
        <v>0</v>
      </c>
      <c r="Y67" s="1">
        <f t="shared" si="26"/>
        <v>0</v>
      </c>
      <c r="Z67" s="1">
        <f t="shared" si="27"/>
        <v>0</v>
      </c>
      <c r="AA67" s="1">
        <f t="shared" ref="AA67:AA130" si="30">MAX(W67:Z67)</f>
        <v>0</v>
      </c>
    </row>
    <row r="68" spans="12:27" x14ac:dyDescent="0.3">
      <c r="L68">
        <v>67</v>
      </c>
      <c r="M68" s="1">
        <f t="shared" si="16"/>
        <v>0</v>
      </c>
      <c r="N68" s="1">
        <f t="shared" si="17"/>
        <v>0</v>
      </c>
      <c r="O68" s="1">
        <f t="shared" si="18"/>
        <v>0</v>
      </c>
      <c r="P68" s="1">
        <f t="shared" si="19"/>
        <v>0</v>
      </c>
      <c r="Q68" s="1">
        <f t="shared" si="28"/>
        <v>0</v>
      </c>
      <c r="R68" s="1">
        <f t="shared" si="20"/>
        <v>0</v>
      </c>
      <c r="S68" s="1">
        <f t="shared" si="21"/>
        <v>0</v>
      </c>
      <c r="T68" s="1">
        <f t="shared" si="22"/>
        <v>0</v>
      </c>
      <c r="U68" s="1">
        <f t="shared" si="23"/>
        <v>0</v>
      </c>
      <c r="V68" s="1">
        <f t="shared" si="29"/>
        <v>0</v>
      </c>
      <c r="W68" s="1">
        <f t="shared" si="24"/>
        <v>0</v>
      </c>
      <c r="X68" s="1">
        <f t="shared" si="25"/>
        <v>0</v>
      </c>
      <c r="Y68" s="1">
        <f t="shared" si="26"/>
        <v>0</v>
      </c>
      <c r="Z68" s="1">
        <f t="shared" si="27"/>
        <v>0</v>
      </c>
      <c r="AA68" s="1">
        <f t="shared" si="30"/>
        <v>0</v>
      </c>
    </row>
    <row r="69" spans="12:27" x14ac:dyDescent="0.3">
      <c r="L69">
        <v>68</v>
      </c>
      <c r="M69" s="1">
        <f t="shared" si="16"/>
        <v>0</v>
      </c>
      <c r="N69" s="1">
        <f t="shared" si="17"/>
        <v>0</v>
      </c>
      <c r="O69" s="1">
        <f t="shared" si="18"/>
        <v>0</v>
      </c>
      <c r="P69" s="1">
        <f t="shared" si="19"/>
        <v>0</v>
      </c>
      <c r="Q69" s="1">
        <f t="shared" si="28"/>
        <v>0</v>
      </c>
      <c r="R69" s="1">
        <f t="shared" si="20"/>
        <v>0</v>
      </c>
      <c r="S69" s="1">
        <f t="shared" si="21"/>
        <v>0</v>
      </c>
      <c r="T69" s="1">
        <f t="shared" si="22"/>
        <v>0</v>
      </c>
      <c r="U69" s="1">
        <f t="shared" si="23"/>
        <v>0</v>
      </c>
      <c r="V69" s="1">
        <f t="shared" si="29"/>
        <v>0</v>
      </c>
      <c r="W69" s="1">
        <f t="shared" si="24"/>
        <v>0</v>
      </c>
      <c r="X69" s="1">
        <f t="shared" si="25"/>
        <v>0</v>
      </c>
      <c r="Y69" s="1">
        <f t="shared" si="26"/>
        <v>0</v>
      </c>
      <c r="Z69" s="1">
        <f t="shared" si="27"/>
        <v>0</v>
      </c>
      <c r="AA69" s="1">
        <f t="shared" si="30"/>
        <v>0</v>
      </c>
    </row>
    <row r="70" spans="12:27" x14ac:dyDescent="0.3">
      <c r="L70">
        <v>69</v>
      </c>
      <c r="M70" s="1">
        <f t="shared" si="16"/>
        <v>0</v>
      </c>
      <c r="N70" s="1">
        <f t="shared" si="17"/>
        <v>0</v>
      </c>
      <c r="O70" s="1">
        <f t="shared" si="18"/>
        <v>0</v>
      </c>
      <c r="P70" s="1">
        <f t="shared" si="19"/>
        <v>0</v>
      </c>
      <c r="Q70" s="1">
        <f t="shared" si="28"/>
        <v>0</v>
      </c>
      <c r="R70" s="1">
        <f t="shared" si="20"/>
        <v>0</v>
      </c>
      <c r="S70" s="1">
        <f t="shared" si="21"/>
        <v>0</v>
      </c>
      <c r="T70" s="1">
        <f t="shared" si="22"/>
        <v>0</v>
      </c>
      <c r="U70" s="1">
        <f t="shared" si="23"/>
        <v>0</v>
      </c>
      <c r="V70" s="1">
        <f t="shared" si="29"/>
        <v>0</v>
      </c>
      <c r="W70" s="1">
        <f t="shared" si="24"/>
        <v>0</v>
      </c>
      <c r="X70" s="1">
        <f t="shared" si="25"/>
        <v>0</v>
      </c>
      <c r="Y70" s="1">
        <f t="shared" si="26"/>
        <v>0</v>
      </c>
      <c r="Z70" s="1">
        <f t="shared" si="27"/>
        <v>0</v>
      </c>
      <c r="AA70" s="1">
        <f t="shared" si="30"/>
        <v>0</v>
      </c>
    </row>
    <row r="71" spans="12:27" x14ac:dyDescent="0.3">
      <c r="L71">
        <v>70</v>
      </c>
      <c r="M71" s="1">
        <f t="shared" si="16"/>
        <v>0</v>
      </c>
      <c r="N71" s="1">
        <f t="shared" si="17"/>
        <v>0</v>
      </c>
      <c r="O71" s="1">
        <f t="shared" si="18"/>
        <v>0</v>
      </c>
      <c r="P71" s="1">
        <f t="shared" si="19"/>
        <v>0</v>
      </c>
      <c r="Q71" s="1">
        <f t="shared" si="28"/>
        <v>0</v>
      </c>
      <c r="R71" s="1">
        <f t="shared" si="20"/>
        <v>0</v>
      </c>
      <c r="S71" s="1">
        <f t="shared" si="21"/>
        <v>0</v>
      </c>
      <c r="T71" s="1">
        <f t="shared" si="22"/>
        <v>0</v>
      </c>
      <c r="U71" s="1">
        <f t="shared" si="23"/>
        <v>0</v>
      </c>
      <c r="V71" s="1">
        <f t="shared" si="29"/>
        <v>0</v>
      </c>
      <c r="W71" s="1">
        <f t="shared" si="24"/>
        <v>0</v>
      </c>
      <c r="X71" s="1">
        <f t="shared" si="25"/>
        <v>0</v>
      </c>
      <c r="Y71" s="1">
        <f t="shared" si="26"/>
        <v>0</v>
      </c>
      <c r="Z71" s="1">
        <f t="shared" si="27"/>
        <v>0</v>
      </c>
      <c r="AA71" s="1">
        <f t="shared" si="30"/>
        <v>0</v>
      </c>
    </row>
    <row r="72" spans="12:27" x14ac:dyDescent="0.3">
      <c r="L72">
        <v>71</v>
      </c>
      <c r="M72" s="1">
        <f t="shared" si="16"/>
        <v>0</v>
      </c>
      <c r="N72" s="1">
        <f t="shared" si="17"/>
        <v>0</v>
      </c>
      <c r="O72" s="1">
        <f t="shared" si="18"/>
        <v>0</v>
      </c>
      <c r="P72" s="1">
        <f t="shared" si="19"/>
        <v>0</v>
      </c>
      <c r="Q72" s="1">
        <f t="shared" si="28"/>
        <v>0</v>
      </c>
      <c r="R72" s="1">
        <f t="shared" si="20"/>
        <v>0</v>
      </c>
      <c r="S72" s="1">
        <f t="shared" si="21"/>
        <v>0</v>
      </c>
      <c r="T72" s="1">
        <f t="shared" si="22"/>
        <v>0</v>
      </c>
      <c r="U72" s="1">
        <f t="shared" si="23"/>
        <v>0</v>
      </c>
      <c r="V72" s="1">
        <f t="shared" si="29"/>
        <v>0</v>
      </c>
      <c r="W72" s="1">
        <f t="shared" si="24"/>
        <v>0</v>
      </c>
      <c r="X72" s="1">
        <f t="shared" si="25"/>
        <v>0</v>
      </c>
      <c r="Y72" s="1">
        <f t="shared" si="26"/>
        <v>0</v>
      </c>
      <c r="Z72" s="1">
        <f t="shared" si="27"/>
        <v>0</v>
      </c>
      <c r="AA72" s="1">
        <f t="shared" si="30"/>
        <v>0</v>
      </c>
    </row>
    <row r="73" spans="12:27" x14ac:dyDescent="0.3">
      <c r="L73">
        <v>72</v>
      </c>
      <c r="M73" s="1">
        <f t="shared" si="16"/>
        <v>0</v>
      </c>
      <c r="N73" s="1">
        <f t="shared" si="17"/>
        <v>0</v>
      </c>
      <c r="O73" s="1">
        <f t="shared" si="18"/>
        <v>0</v>
      </c>
      <c r="P73" s="1">
        <f t="shared" si="19"/>
        <v>0</v>
      </c>
      <c r="Q73" s="1">
        <f t="shared" si="28"/>
        <v>0</v>
      </c>
      <c r="R73" s="1">
        <f t="shared" si="20"/>
        <v>0</v>
      </c>
      <c r="S73" s="1">
        <f t="shared" si="21"/>
        <v>0</v>
      </c>
      <c r="T73" s="1">
        <f t="shared" si="22"/>
        <v>0</v>
      </c>
      <c r="U73" s="1">
        <f t="shared" si="23"/>
        <v>0</v>
      </c>
      <c r="V73" s="1">
        <f t="shared" si="29"/>
        <v>0</v>
      </c>
      <c r="W73" s="1">
        <f t="shared" si="24"/>
        <v>0</v>
      </c>
      <c r="X73" s="1">
        <f t="shared" si="25"/>
        <v>0</v>
      </c>
      <c r="Y73" s="1">
        <f t="shared" si="26"/>
        <v>0</v>
      </c>
      <c r="Z73" s="1">
        <f t="shared" si="27"/>
        <v>0</v>
      </c>
      <c r="AA73" s="1">
        <f t="shared" si="30"/>
        <v>0</v>
      </c>
    </row>
    <row r="74" spans="12:27" x14ac:dyDescent="0.3">
      <c r="L74">
        <v>73</v>
      </c>
      <c r="M74" s="1">
        <f t="shared" si="16"/>
        <v>0</v>
      </c>
      <c r="N74" s="1">
        <f t="shared" si="17"/>
        <v>0</v>
      </c>
      <c r="O74" s="1">
        <f t="shared" si="18"/>
        <v>0</v>
      </c>
      <c r="P74" s="1">
        <f t="shared" si="19"/>
        <v>0</v>
      </c>
      <c r="Q74" s="1">
        <f t="shared" si="28"/>
        <v>0</v>
      </c>
      <c r="R74" s="1">
        <f t="shared" si="20"/>
        <v>0</v>
      </c>
      <c r="S74" s="1">
        <f t="shared" si="21"/>
        <v>0</v>
      </c>
      <c r="T74" s="1">
        <f t="shared" si="22"/>
        <v>0</v>
      </c>
      <c r="U74" s="1">
        <f t="shared" si="23"/>
        <v>0</v>
      </c>
      <c r="V74" s="1">
        <f t="shared" si="29"/>
        <v>0</v>
      </c>
      <c r="W74" s="1">
        <f t="shared" si="24"/>
        <v>0</v>
      </c>
      <c r="X74" s="1">
        <f t="shared" si="25"/>
        <v>0</v>
      </c>
      <c r="Y74" s="1">
        <f t="shared" si="26"/>
        <v>0</v>
      </c>
      <c r="Z74" s="1">
        <f t="shared" si="27"/>
        <v>0</v>
      </c>
      <c r="AA74" s="1">
        <f t="shared" si="30"/>
        <v>0</v>
      </c>
    </row>
    <row r="75" spans="12:27" x14ac:dyDescent="0.3">
      <c r="L75">
        <v>74</v>
      </c>
      <c r="M75" s="1">
        <f t="shared" si="16"/>
        <v>0</v>
      </c>
      <c r="N75" s="1">
        <f t="shared" si="17"/>
        <v>0</v>
      </c>
      <c r="O75" s="1">
        <f t="shared" si="18"/>
        <v>0</v>
      </c>
      <c r="P75" s="1">
        <f t="shared" si="19"/>
        <v>0</v>
      </c>
      <c r="Q75" s="1">
        <f t="shared" si="28"/>
        <v>0</v>
      </c>
      <c r="R75" s="1">
        <f t="shared" si="20"/>
        <v>0</v>
      </c>
      <c r="S75" s="1">
        <f t="shared" si="21"/>
        <v>0</v>
      </c>
      <c r="T75" s="1">
        <f t="shared" si="22"/>
        <v>0</v>
      </c>
      <c r="U75" s="1">
        <f t="shared" si="23"/>
        <v>0</v>
      </c>
      <c r="V75" s="1">
        <f t="shared" si="29"/>
        <v>0</v>
      </c>
      <c r="W75" s="1">
        <f t="shared" si="24"/>
        <v>0</v>
      </c>
      <c r="X75" s="1">
        <f t="shared" si="25"/>
        <v>0</v>
      </c>
      <c r="Y75" s="1">
        <f t="shared" si="26"/>
        <v>0</v>
      </c>
      <c r="Z75" s="1">
        <f t="shared" si="27"/>
        <v>0</v>
      </c>
      <c r="AA75" s="1">
        <f t="shared" si="30"/>
        <v>0</v>
      </c>
    </row>
    <row r="76" spans="12:27" x14ac:dyDescent="0.3">
      <c r="L76">
        <v>75</v>
      </c>
      <c r="M76" s="1">
        <f t="shared" si="16"/>
        <v>0</v>
      </c>
      <c r="N76" s="1">
        <f t="shared" si="17"/>
        <v>0</v>
      </c>
      <c r="O76" s="1">
        <f t="shared" si="18"/>
        <v>0</v>
      </c>
      <c r="P76" s="1">
        <f t="shared" si="19"/>
        <v>0</v>
      </c>
      <c r="Q76" s="1">
        <f t="shared" si="28"/>
        <v>0</v>
      </c>
      <c r="R76" s="1">
        <f t="shared" si="20"/>
        <v>0</v>
      </c>
      <c r="S76" s="1">
        <f t="shared" si="21"/>
        <v>0</v>
      </c>
      <c r="T76" s="1">
        <f t="shared" si="22"/>
        <v>0</v>
      </c>
      <c r="U76" s="1">
        <f t="shared" si="23"/>
        <v>0</v>
      </c>
      <c r="V76" s="1">
        <f t="shared" si="29"/>
        <v>0</v>
      </c>
      <c r="W76" s="1">
        <f t="shared" si="24"/>
        <v>0</v>
      </c>
      <c r="X76" s="1">
        <f t="shared" si="25"/>
        <v>0</v>
      </c>
      <c r="Y76" s="1">
        <f t="shared" si="26"/>
        <v>0</v>
      </c>
      <c r="Z76" s="1">
        <f t="shared" si="27"/>
        <v>0</v>
      </c>
      <c r="AA76" s="1">
        <f t="shared" si="30"/>
        <v>0</v>
      </c>
    </row>
    <row r="77" spans="12:27" x14ac:dyDescent="0.3">
      <c r="L77">
        <v>76</v>
      </c>
      <c r="M77" s="1">
        <f t="shared" si="16"/>
        <v>0</v>
      </c>
      <c r="N77" s="1">
        <f t="shared" si="17"/>
        <v>0</v>
      </c>
      <c r="O77" s="1">
        <f t="shared" si="18"/>
        <v>0</v>
      </c>
      <c r="P77" s="1">
        <f t="shared" si="19"/>
        <v>0</v>
      </c>
      <c r="Q77" s="1">
        <f t="shared" si="28"/>
        <v>0</v>
      </c>
      <c r="R77" s="1">
        <f t="shared" si="20"/>
        <v>0</v>
      </c>
      <c r="S77" s="1">
        <f t="shared" si="21"/>
        <v>0</v>
      </c>
      <c r="T77" s="1">
        <f t="shared" si="22"/>
        <v>0</v>
      </c>
      <c r="U77" s="1">
        <f t="shared" si="23"/>
        <v>0</v>
      </c>
      <c r="V77" s="1">
        <f t="shared" si="29"/>
        <v>0</v>
      </c>
      <c r="W77" s="1">
        <f t="shared" si="24"/>
        <v>0</v>
      </c>
      <c r="X77" s="1">
        <f t="shared" si="25"/>
        <v>0</v>
      </c>
      <c r="Y77" s="1">
        <f t="shared" si="26"/>
        <v>0</v>
      </c>
      <c r="Z77" s="1">
        <f t="shared" si="27"/>
        <v>0</v>
      </c>
      <c r="AA77" s="1">
        <f t="shared" si="30"/>
        <v>0</v>
      </c>
    </row>
    <row r="78" spans="12:27" x14ac:dyDescent="0.3">
      <c r="L78">
        <v>77</v>
      </c>
      <c r="M78" s="1">
        <f t="shared" si="16"/>
        <v>0</v>
      </c>
      <c r="N78" s="1">
        <f t="shared" si="17"/>
        <v>0</v>
      </c>
      <c r="O78" s="1">
        <f t="shared" si="18"/>
        <v>0</v>
      </c>
      <c r="P78" s="1">
        <f t="shared" si="19"/>
        <v>0</v>
      </c>
      <c r="Q78" s="1">
        <f t="shared" si="28"/>
        <v>0</v>
      </c>
      <c r="R78" s="1">
        <f t="shared" si="20"/>
        <v>0</v>
      </c>
      <c r="S78" s="1">
        <f t="shared" si="21"/>
        <v>0</v>
      </c>
      <c r="T78" s="1">
        <f t="shared" si="22"/>
        <v>0</v>
      </c>
      <c r="U78" s="1">
        <f t="shared" si="23"/>
        <v>0</v>
      </c>
      <c r="V78" s="1">
        <f t="shared" si="29"/>
        <v>0</v>
      </c>
      <c r="W78" s="1">
        <f t="shared" si="24"/>
        <v>0</v>
      </c>
      <c r="X78" s="1">
        <f t="shared" si="25"/>
        <v>0</v>
      </c>
      <c r="Y78" s="1">
        <f t="shared" si="26"/>
        <v>0</v>
      </c>
      <c r="Z78" s="1">
        <f t="shared" si="27"/>
        <v>0</v>
      </c>
      <c r="AA78" s="1">
        <f t="shared" si="30"/>
        <v>0</v>
      </c>
    </row>
    <row r="79" spans="12:27" x14ac:dyDescent="0.3">
      <c r="L79">
        <v>78</v>
      </c>
      <c r="M79" s="1">
        <f t="shared" si="16"/>
        <v>0</v>
      </c>
      <c r="N79" s="1">
        <f t="shared" si="17"/>
        <v>0</v>
      </c>
      <c r="O79" s="1">
        <f t="shared" si="18"/>
        <v>0</v>
      </c>
      <c r="P79" s="1">
        <f t="shared" si="19"/>
        <v>0</v>
      </c>
      <c r="Q79" s="1">
        <f t="shared" si="28"/>
        <v>0</v>
      </c>
      <c r="R79" s="1">
        <f t="shared" si="20"/>
        <v>0</v>
      </c>
      <c r="S79" s="1">
        <f t="shared" si="21"/>
        <v>0</v>
      </c>
      <c r="T79" s="1">
        <f t="shared" si="22"/>
        <v>0</v>
      </c>
      <c r="U79" s="1">
        <f t="shared" si="23"/>
        <v>0</v>
      </c>
      <c r="V79" s="1">
        <f t="shared" si="29"/>
        <v>0</v>
      </c>
      <c r="W79" s="1">
        <f t="shared" si="24"/>
        <v>0</v>
      </c>
      <c r="X79" s="1">
        <f t="shared" si="25"/>
        <v>0</v>
      </c>
      <c r="Y79" s="1">
        <f t="shared" si="26"/>
        <v>0</v>
      </c>
      <c r="Z79" s="1">
        <f t="shared" si="27"/>
        <v>0</v>
      </c>
      <c r="AA79" s="1">
        <f t="shared" si="30"/>
        <v>0</v>
      </c>
    </row>
    <row r="80" spans="12:27" x14ac:dyDescent="0.3">
      <c r="L80">
        <v>79</v>
      </c>
      <c r="M80" s="1">
        <f t="shared" si="16"/>
        <v>0</v>
      </c>
      <c r="N80" s="1">
        <f t="shared" si="17"/>
        <v>0</v>
      </c>
      <c r="O80" s="1">
        <f t="shared" si="18"/>
        <v>0</v>
      </c>
      <c r="P80" s="1">
        <f t="shared" si="19"/>
        <v>0</v>
      </c>
      <c r="Q80" s="1">
        <f t="shared" si="28"/>
        <v>0</v>
      </c>
      <c r="R80" s="1">
        <f t="shared" si="20"/>
        <v>0</v>
      </c>
      <c r="S80" s="1">
        <f t="shared" si="21"/>
        <v>0</v>
      </c>
      <c r="T80" s="1">
        <f t="shared" si="22"/>
        <v>0</v>
      </c>
      <c r="U80" s="1">
        <f t="shared" si="23"/>
        <v>0</v>
      </c>
      <c r="V80" s="1">
        <f t="shared" si="29"/>
        <v>0</v>
      </c>
      <c r="W80" s="1">
        <f t="shared" si="24"/>
        <v>0</v>
      </c>
      <c r="X80" s="1">
        <f t="shared" si="25"/>
        <v>0</v>
      </c>
      <c r="Y80" s="1">
        <f t="shared" si="26"/>
        <v>0</v>
      </c>
      <c r="Z80" s="1">
        <f t="shared" si="27"/>
        <v>0</v>
      </c>
      <c r="AA80" s="1">
        <f t="shared" si="30"/>
        <v>0</v>
      </c>
    </row>
    <row r="81" spans="12:27" x14ac:dyDescent="0.3">
      <c r="L81">
        <v>80</v>
      </c>
      <c r="M81" s="1">
        <f t="shared" si="16"/>
        <v>0</v>
      </c>
      <c r="N81" s="1">
        <f t="shared" si="17"/>
        <v>0</v>
      </c>
      <c r="O81" s="1">
        <f t="shared" si="18"/>
        <v>0</v>
      </c>
      <c r="P81" s="1">
        <f t="shared" si="19"/>
        <v>0</v>
      </c>
      <c r="Q81" s="1">
        <f t="shared" si="28"/>
        <v>0</v>
      </c>
      <c r="R81" s="1">
        <f t="shared" si="20"/>
        <v>0</v>
      </c>
      <c r="S81" s="1">
        <f t="shared" si="21"/>
        <v>0</v>
      </c>
      <c r="T81" s="1">
        <f t="shared" si="22"/>
        <v>0</v>
      </c>
      <c r="U81" s="1">
        <f t="shared" si="23"/>
        <v>0</v>
      </c>
      <c r="V81" s="1">
        <f t="shared" si="29"/>
        <v>0</v>
      </c>
      <c r="W81" s="1">
        <f t="shared" si="24"/>
        <v>0</v>
      </c>
      <c r="X81" s="1">
        <f t="shared" si="25"/>
        <v>0</v>
      </c>
      <c r="Y81" s="1">
        <f t="shared" si="26"/>
        <v>0</v>
      </c>
      <c r="Z81" s="1">
        <f t="shared" si="27"/>
        <v>0</v>
      </c>
      <c r="AA81" s="1">
        <f t="shared" si="30"/>
        <v>0</v>
      </c>
    </row>
    <row r="82" spans="12:27" x14ac:dyDescent="0.3">
      <c r="L82">
        <v>81</v>
      </c>
      <c r="M82" s="1">
        <f t="shared" si="16"/>
        <v>0</v>
      </c>
      <c r="N82" s="1">
        <f t="shared" si="17"/>
        <v>0</v>
      </c>
      <c r="O82" s="1">
        <f t="shared" si="18"/>
        <v>0</v>
      </c>
      <c r="P82" s="1">
        <f t="shared" si="19"/>
        <v>0</v>
      </c>
      <c r="Q82" s="1">
        <f t="shared" si="28"/>
        <v>0</v>
      </c>
      <c r="R82" s="1">
        <f t="shared" si="20"/>
        <v>0</v>
      </c>
      <c r="S82" s="1">
        <f t="shared" si="21"/>
        <v>0</v>
      </c>
      <c r="T82" s="1">
        <f t="shared" si="22"/>
        <v>0</v>
      </c>
      <c r="U82" s="1">
        <f t="shared" si="23"/>
        <v>0</v>
      </c>
      <c r="V82" s="1">
        <f t="shared" si="29"/>
        <v>0</v>
      </c>
      <c r="W82" s="1">
        <f t="shared" si="24"/>
        <v>0</v>
      </c>
      <c r="X82" s="1">
        <f t="shared" si="25"/>
        <v>0</v>
      </c>
      <c r="Y82" s="1">
        <f t="shared" si="26"/>
        <v>0</v>
      </c>
      <c r="Z82" s="1">
        <f t="shared" si="27"/>
        <v>0</v>
      </c>
      <c r="AA82" s="1">
        <f t="shared" si="30"/>
        <v>0</v>
      </c>
    </row>
    <row r="83" spans="12:27" x14ac:dyDescent="0.3">
      <c r="L83">
        <v>82</v>
      </c>
      <c r="M83" s="1">
        <f t="shared" si="16"/>
        <v>0</v>
      </c>
      <c r="N83" s="1">
        <f t="shared" si="17"/>
        <v>0</v>
      </c>
      <c r="O83" s="1">
        <f t="shared" si="18"/>
        <v>0</v>
      </c>
      <c r="P83" s="1">
        <f t="shared" si="19"/>
        <v>0</v>
      </c>
      <c r="Q83" s="1">
        <f t="shared" si="28"/>
        <v>0</v>
      </c>
      <c r="R83" s="1">
        <f t="shared" si="20"/>
        <v>0</v>
      </c>
      <c r="S83" s="1">
        <f t="shared" si="21"/>
        <v>0</v>
      </c>
      <c r="T83" s="1">
        <f t="shared" si="22"/>
        <v>0</v>
      </c>
      <c r="U83" s="1">
        <f t="shared" si="23"/>
        <v>0</v>
      </c>
      <c r="V83" s="1">
        <f t="shared" si="29"/>
        <v>0</v>
      </c>
      <c r="W83" s="1">
        <f t="shared" si="24"/>
        <v>0</v>
      </c>
      <c r="X83" s="1">
        <f t="shared" si="25"/>
        <v>0</v>
      </c>
      <c r="Y83" s="1">
        <f t="shared" si="26"/>
        <v>0</v>
      </c>
      <c r="Z83" s="1">
        <f t="shared" si="27"/>
        <v>0</v>
      </c>
      <c r="AA83" s="1">
        <f t="shared" si="30"/>
        <v>0</v>
      </c>
    </row>
    <row r="84" spans="12:27" x14ac:dyDescent="0.3">
      <c r="L84">
        <v>83</v>
      </c>
      <c r="M84" s="1">
        <f t="shared" si="16"/>
        <v>0</v>
      </c>
      <c r="N84" s="1">
        <f t="shared" si="17"/>
        <v>0</v>
      </c>
      <c r="O84" s="1">
        <f t="shared" si="18"/>
        <v>0</v>
      </c>
      <c r="P84" s="1">
        <f t="shared" si="19"/>
        <v>0</v>
      </c>
      <c r="Q84" s="1">
        <f t="shared" si="28"/>
        <v>0</v>
      </c>
      <c r="R84" s="1">
        <f t="shared" si="20"/>
        <v>0</v>
      </c>
      <c r="S84" s="1">
        <f t="shared" si="21"/>
        <v>0</v>
      </c>
      <c r="T84" s="1">
        <f t="shared" si="22"/>
        <v>0</v>
      </c>
      <c r="U84" s="1">
        <f t="shared" si="23"/>
        <v>0</v>
      </c>
      <c r="V84" s="1">
        <f t="shared" si="29"/>
        <v>0</v>
      </c>
      <c r="W84" s="1">
        <f t="shared" si="24"/>
        <v>0</v>
      </c>
      <c r="X84" s="1">
        <f t="shared" si="25"/>
        <v>0</v>
      </c>
      <c r="Y84" s="1">
        <f t="shared" si="26"/>
        <v>0</v>
      </c>
      <c r="Z84" s="1">
        <f t="shared" si="27"/>
        <v>0</v>
      </c>
      <c r="AA84" s="1">
        <f t="shared" si="30"/>
        <v>0</v>
      </c>
    </row>
    <row r="85" spans="12:27" x14ac:dyDescent="0.3">
      <c r="L85">
        <v>84</v>
      </c>
      <c r="M85" s="1">
        <f t="shared" si="16"/>
        <v>0</v>
      </c>
      <c r="N85" s="1">
        <f t="shared" si="17"/>
        <v>0</v>
      </c>
      <c r="O85" s="1">
        <f t="shared" si="18"/>
        <v>0</v>
      </c>
      <c r="P85" s="1">
        <f t="shared" si="19"/>
        <v>0</v>
      </c>
      <c r="Q85" s="1">
        <f t="shared" si="28"/>
        <v>0</v>
      </c>
      <c r="R85" s="1">
        <f t="shared" si="20"/>
        <v>0</v>
      </c>
      <c r="S85" s="1">
        <f t="shared" si="21"/>
        <v>0</v>
      </c>
      <c r="T85" s="1">
        <f t="shared" si="22"/>
        <v>0</v>
      </c>
      <c r="U85" s="1">
        <f t="shared" si="23"/>
        <v>0</v>
      </c>
      <c r="V85" s="1">
        <f t="shared" si="29"/>
        <v>0</v>
      </c>
      <c r="W85" s="1">
        <f t="shared" si="24"/>
        <v>0</v>
      </c>
      <c r="X85" s="1">
        <f t="shared" si="25"/>
        <v>0</v>
      </c>
      <c r="Y85" s="1">
        <f t="shared" si="26"/>
        <v>0</v>
      </c>
      <c r="Z85" s="1">
        <f t="shared" si="27"/>
        <v>0</v>
      </c>
      <c r="AA85" s="1">
        <f t="shared" si="30"/>
        <v>0</v>
      </c>
    </row>
    <row r="86" spans="12:27" x14ac:dyDescent="0.3">
      <c r="L86">
        <v>85</v>
      </c>
      <c r="M86" s="1">
        <f t="shared" si="16"/>
        <v>0</v>
      </c>
      <c r="N86" s="1">
        <f t="shared" si="17"/>
        <v>0</v>
      </c>
      <c r="O86" s="1">
        <f t="shared" si="18"/>
        <v>0</v>
      </c>
      <c r="P86" s="1">
        <f t="shared" si="19"/>
        <v>0</v>
      </c>
      <c r="Q86" s="1">
        <f t="shared" si="28"/>
        <v>0</v>
      </c>
      <c r="R86" s="1">
        <f t="shared" si="20"/>
        <v>0</v>
      </c>
      <c r="S86" s="1">
        <f t="shared" si="21"/>
        <v>0</v>
      </c>
      <c r="T86" s="1">
        <f t="shared" si="22"/>
        <v>0</v>
      </c>
      <c r="U86" s="1">
        <f t="shared" si="23"/>
        <v>0</v>
      </c>
      <c r="V86" s="1">
        <f t="shared" si="29"/>
        <v>0</v>
      </c>
      <c r="W86" s="1">
        <f t="shared" si="24"/>
        <v>0</v>
      </c>
      <c r="X86" s="1">
        <f t="shared" si="25"/>
        <v>0</v>
      </c>
      <c r="Y86" s="1">
        <f t="shared" si="26"/>
        <v>0</v>
      </c>
      <c r="Z86" s="1">
        <f t="shared" si="27"/>
        <v>0</v>
      </c>
      <c r="AA86" s="1">
        <f t="shared" si="30"/>
        <v>0</v>
      </c>
    </row>
    <row r="87" spans="12:27" x14ac:dyDescent="0.3">
      <c r="L87">
        <v>86</v>
      </c>
      <c r="M87" s="1">
        <f t="shared" si="16"/>
        <v>0</v>
      </c>
      <c r="N87" s="1">
        <f t="shared" si="17"/>
        <v>0</v>
      </c>
      <c r="O87" s="1">
        <f t="shared" si="18"/>
        <v>0</v>
      </c>
      <c r="P87" s="1">
        <f t="shared" si="19"/>
        <v>0</v>
      </c>
      <c r="Q87" s="1">
        <f t="shared" si="28"/>
        <v>0</v>
      </c>
      <c r="R87" s="1">
        <f t="shared" si="20"/>
        <v>0</v>
      </c>
      <c r="S87" s="1">
        <f t="shared" si="21"/>
        <v>0</v>
      </c>
      <c r="T87" s="1">
        <f t="shared" si="22"/>
        <v>0</v>
      </c>
      <c r="U87" s="1">
        <f t="shared" si="23"/>
        <v>0</v>
      </c>
      <c r="V87" s="1">
        <f t="shared" si="29"/>
        <v>0</v>
      </c>
      <c r="W87" s="1">
        <f t="shared" si="24"/>
        <v>0</v>
      </c>
      <c r="X87" s="1">
        <f t="shared" si="25"/>
        <v>0</v>
      </c>
      <c r="Y87" s="1">
        <f t="shared" si="26"/>
        <v>0</v>
      </c>
      <c r="Z87" s="1">
        <f t="shared" si="27"/>
        <v>0</v>
      </c>
      <c r="AA87" s="1">
        <f t="shared" si="30"/>
        <v>0</v>
      </c>
    </row>
    <row r="88" spans="12:27" x14ac:dyDescent="0.3">
      <c r="L88">
        <v>87</v>
      </c>
      <c r="M88" s="1">
        <f t="shared" si="16"/>
        <v>0</v>
      </c>
      <c r="N88" s="1">
        <f t="shared" si="17"/>
        <v>0</v>
      </c>
      <c r="O88" s="1">
        <f t="shared" si="18"/>
        <v>0</v>
      </c>
      <c r="P88" s="1">
        <f t="shared" si="19"/>
        <v>0</v>
      </c>
      <c r="Q88" s="1">
        <f t="shared" si="28"/>
        <v>0</v>
      </c>
      <c r="R88" s="1">
        <f t="shared" si="20"/>
        <v>0</v>
      </c>
      <c r="S88" s="1">
        <f t="shared" si="21"/>
        <v>0</v>
      </c>
      <c r="T88" s="1">
        <f t="shared" si="22"/>
        <v>0</v>
      </c>
      <c r="U88" s="1">
        <f t="shared" si="23"/>
        <v>0</v>
      </c>
      <c r="V88" s="1">
        <f t="shared" si="29"/>
        <v>0</v>
      </c>
      <c r="W88" s="1">
        <f t="shared" si="24"/>
        <v>0</v>
      </c>
      <c r="X88" s="1">
        <f t="shared" si="25"/>
        <v>0</v>
      </c>
      <c r="Y88" s="1">
        <f t="shared" si="26"/>
        <v>0</v>
      </c>
      <c r="Z88" s="1">
        <f t="shared" si="27"/>
        <v>0</v>
      </c>
      <c r="AA88" s="1">
        <f t="shared" si="30"/>
        <v>0</v>
      </c>
    </row>
    <row r="89" spans="12:27" x14ac:dyDescent="0.3">
      <c r="L89">
        <v>88</v>
      </c>
      <c r="M89" s="1">
        <f t="shared" si="16"/>
        <v>0</v>
      </c>
      <c r="N89" s="1">
        <f t="shared" si="17"/>
        <v>0</v>
      </c>
      <c r="O89" s="1">
        <f t="shared" si="18"/>
        <v>0</v>
      </c>
      <c r="P89" s="1">
        <f t="shared" si="19"/>
        <v>0</v>
      </c>
      <c r="Q89" s="1">
        <f t="shared" si="28"/>
        <v>0</v>
      </c>
      <c r="R89" s="1">
        <f t="shared" si="20"/>
        <v>0</v>
      </c>
      <c r="S89" s="1">
        <f t="shared" si="21"/>
        <v>0</v>
      </c>
      <c r="T89" s="1">
        <f t="shared" si="22"/>
        <v>0</v>
      </c>
      <c r="U89" s="1">
        <f t="shared" si="23"/>
        <v>0</v>
      </c>
      <c r="V89" s="1">
        <f t="shared" si="29"/>
        <v>0</v>
      </c>
      <c r="W89" s="1">
        <f t="shared" si="24"/>
        <v>0</v>
      </c>
      <c r="X89" s="1">
        <f t="shared" si="25"/>
        <v>0</v>
      </c>
      <c r="Y89" s="1">
        <f t="shared" si="26"/>
        <v>0</v>
      </c>
      <c r="Z89" s="1">
        <f t="shared" si="27"/>
        <v>0</v>
      </c>
      <c r="AA89" s="1">
        <f t="shared" si="30"/>
        <v>0</v>
      </c>
    </row>
    <row r="90" spans="12:27" x14ac:dyDescent="0.3">
      <c r="L90">
        <v>89</v>
      </c>
      <c r="M90" s="1">
        <f t="shared" si="16"/>
        <v>0</v>
      </c>
      <c r="N90" s="1">
        <f t="shared" si="17"/>
        <v>0</v>
      </c>
      <c r="O90" s="1">
        <f t="shared" si="18"/>
        <v>0</v>
      </c>
      <c r="P90" s="1">
        <f t="shared" si="19"/>
        <v>0</v>
      </c>
      <c r="Q90" s="1">
        <f t="shared" si="28"/>
        <v>0</v>
      </c>
      <c r="R90" s="1">
        <f t="shared" si="20"/>
        <v>0</v>
      </c>
      <c r="S90" s="1">
        <f t="shared" si="21"/>
        <v>0</v>
      </c>
      <c r="T90" s="1">
        <f t="shared" si="22"/>
        <v>0</v>
      </c>
      <c r="U90" s="1">
        <f t="shared" si="23"/>
        <v>0</v>
      </c>
      <c r="V90" s="1">
        <f t="shared" si="29"/>
        <v>0</v>
      </c>
      <c r="W90" s="1">
        <f t="shared" si="24"/>
        <v>0</v>
      </c>
      <c r="X90" s="1">
        <f t="shared" si="25"/>
        <v>0</v>
      </c>
      <c r="Y90" s="1">
        <f t="shared" si="26"/>
        <v>0</v>
      </c>
      <c r="Z90" s="1">
        <f t="shared" si="27"/>
        <v>0</v>
      </c>
      <c r="AA90" s="1">
        <f t="shared" si="30"/>
        <v>0</v>
      </c>
    </row>
    <row r="91" spans="12:27" x14ac:dyDescent="0.3">
      <c r="L91">
        <v>90</v>
      </c>
      <c r="M91" s="1">
        <f t="shared" si="16"/>
        <v>0</v>
      </c>
      <c r="N91" s="1">
        <f t="shared" si="17"/>
        <v>0</v>
      </c>
      <c r="O91" s="1">
        <f t="shared" si="18"/>
        <v>0</v>
      </c>
      <c r="P91" s="1">
        <f t="shared" si="19"/>
        <v>0</v>
      </c>
      <c r="Q91" s="1">
        <f t="shared" si="28"/>
        <v>0</v>
      </c>
      <c r="R91" s="1">
        <f t="shared" si="20"/>
        <v>0</v>
      </c>
      <c r="S91" s="1">
        <f t="shared" si="21"/>
        <v>0</v>
      </c>
      <c r="T91" s="1">
        <f t="shared" si="22"/>
        <v>0</v>
      </c>
      <c r="U91" s="1">
        <f t="shared" si="23"/>
        <v>0</v>
      </c>
      <c r="V91" s="1">
        <f t="shared" si="29"/>
        <v>0</v>
      </c>
      <c r="W91" s="1">
        <f t="shared" si="24"/>
        <v>0</v>
      </c>
      <c r="X91" s="1">
        <f t="shared" si="25"/>
        <v>0</v>
      </c>
      <c r="Y91" s="1">
        <f t="shared" si="26"/>
        <v>0</v>
      </c>
      <c r="Z91" s="1">
        <f t="shared" si="27"/>
        <v>0</v>
      </c>
      <c r="AA91" s="1">
        <f t="shared" si="30"/>
        <v>0</v>
      </c>
    </row>
    <row r="92" spans="12:27" x14ac:dyDescent="0.3">
      <c r="L92">
        <v>91</v>
      </c>
      <c r="M92" s="1">
        <f t="shared" si="16"/>
        <v>0.3</v>
      </c>
      <c r="N92" s="1">
        <f t="shared" si="17"/>
        <v>0</v>
      </c>
      <c r="O92" s="1">
        <f t="shared" si="18"/>
        <v>0</v>
      </c>
      <c r="P92" s="1">
        <f t="shared" si="19"/>
        <v>0</v>
      </c>
      <c r="Q92" s="1">
        <f t="shared" si="28"/>
        <v>0.3</v>
      </c>
      <c r="R92" s="1">
        <f t="shared" si="20"/>
        <v>0</v>
      </c>
      <c r="S92" s="1">
        <f t="shared" si="21"/>
        <v>0</v>
      </c>
      <c r="T92" s="1">
        <f t="shared" si="22"/>
        <v>0</v>
      </c>
      <c r="U92" s="1">
        <f t="shared" si="23"/>
        <v>0</v>
      </c>
      <c r="V92" s="1">
        <f t="shared" si="29"/>
        <v>0</v>
      </c>
      <c r="W92" s="1">
        <f t="shared" si="24"/>
        <v>0</v>
      </c>
      <c r="X92" s="1">
        <f t="shared" si="25"/>
        <v>0</v>
      </c>
      <c r="Y92" s="1">
        <f t="shared" si="26"/>
        <v>0</v>
      </c>
      <c r="Z92" s="1">
        <f t="shared" si="27"/>
        <v>0</v>
      </c>
      <c r="AA92" s="1">
        <f t="shared" si="30"/>
        <v>0</v>
      </c>
    </row>
    <row r="93" spans="12:27" x14ac:dyDescent="0.3">
      <c r="L93">
        <v>92</v>
      </c>
      <c r="M93" s="1">
        <f t="shared" si="16"/>
        <v>0.3</v>
      </c>
      <c r="N93" s="1">
        <f t="shared" si="17"/>
        <v>0</v>
      </c>
      <c r="O93" s="1">
        <f t="shared" si="18"/>
        <v>0</v>
      </c>
      <c r="P93" s="1">
        <f t="shared" si="19"/>
        <v>0</v>
      </c>
      <c r="Q93" s="1">
        <f t="shared" si="28"/>
        <v>0.3</v>
      </c>
      <c r="R93" s="1">
        <f t="shared" si="20"/>
        <v>0</v>
      </c>
      <c r="S93" s="1">
        <f t="shared" si="21"/>
        <v>0</v>
      </c>
      <c r="T93" s="1">
        <f t="shared" si="22"/>
        <v>0</v>
      </c>
      <c r="U93" s="1">
        <f t="shared" si="23"/>
        <v>0</v>
      </c>
      <c r="V93" s="1">
        <f t="shared" si="29"/>
        <v>0</v>
      </c>
      <c r="W93" s="1">
        <f t="shared" si="24"/>
        <v>0</v>
      </c>
      <c r="X93" s="1">
        <f t="shared" si="25"/>
        <v>0</v>
      </c>
      <c r="Y93" s="1">
        <f t="shared" si="26"/>
        <v>0</v>
      </c>
      <c r="Z93" s="1">
        <f t="shared" si="27"/>
        <v>0</v>
      </c>
      <c r="AA93" s="1">
        <f t="shared" si="30"/>
        <v>0</v>
      </c>
    </row>
    <row r="94" spans="12:27" x14ac:dyDescent="0.3">
      <c r="L94">
        <v>93</v>
      </c>
      <c r="M94" s="1">
        <f t="shared" si="16"/>
        <v>0.3</v>
      </c>
      <c r="N94" s="1">
        <f t="shared" si="17"/>
        <v>0</v>
      </c>
      <c r="O94" s="1">
        <f t="shared" si="18"/>
        <v>0</v>
      </c>
      <c r="P94" s="1">
        <f t="shared" si="19"/>
        <v>0</v>
      </c>
      <c r="Q94" s="1">
        <f t="shared" si="28"/>
        <v>0.3</v>
      </c>
      <c r="R94" s="1">
        <f t="shared" si="20"/>
        <v>0</v>
      </c>
      <c r="S94" s="1">
        <f t="shared" si="21"/>
        <v>0</v>
      </c>
      <c r="T94" s="1">
        <f t="shared" si="22"/>
        <v>0</v>
      </c>
      <c r="U94" s="1">
        <f t="shared" si="23"/>
        <v>0</v>
      </c>
      <c r="V94" s="1">
        <f t="shared" si="29"/>
        <v>0</v>
      </c>
      <c r="W94" s="1">
        <f t="shared" si="24"/>
        <v>0</v>
      </c>
      <c r="X94" s="1">
        <f t="shared" si="25"/>
        <v>0</v>
      </c>
      <c r="Y94" s="1">
        <f t="shared" si="26"/>
        <v>0</v>
      </c>
      <c r="Z94" s="1">
        <f t="shared" si="27"/>
        <v>0</v>
      </c>
      <c r="AA94" s="1">
        <f t="shared" si="30"/>
        <v>0</v>
      </c>
    </row>
    <row r="95" spans="12:27" x14ac:dyDescent="0.3">
      <c r="L95">
        <v>94</v>
      </c>
      <c r="M95" s="1">
        <f t="shared" si="16"/>
        <v>0.3</v>
      </c>
      <c r="N95" s="1">
        <f t="shared" si="17"/>
        <v>0</v>
      </c>
      <c r="O95" s="1">
        <f t="shared" si="18"/>
        <v>0</v>
      </c>
      <c r="P95" s="1">
        <f t="shared" si="19"/>
        <v>0</v>
      </c>
      <c r="Q95" s="1">
        <f t="shared" si="28"/>
        <v>0.3</v>
      </c>
      <c r="R95" s="1">
        <f t="shared" si="20"/>
        <v>0</v>
      </c>
      <c r="S95" s="1">
        <f t="shared" si="21"/>
        <v>0</v>
      </c>
      <c r="T95" s="1">
        <f t="shared" si="22"/>
        <v>0</v>
      </c>
      <c r="U95" s="1">
        <f t="shared" si="23"/>
        <v>0</v>
      </c>
      <c r="V95" s="1">
        <f t="shared" si="29"/>
        <v>0</v>
      </c>
      <c r="W95" s="1">
        <f t="shared" si="24"/>
        <v>0</v>
      </c>
      <c r="X95" s="1">
        <f t="shared" si="25"/>
        <v>0</v>
      </c>
      <c r="Y95" s="1">
        <f t="shared" si="26"/>
        <v>0</v>
      </c>
      <c r="Z95" s="1">
        <f t="shared" si="27"/>
        <v>0</v>
      </c>
      <c r="AA95" s="1">
        <f t="shared" si="30"/>
        <v>0</v>
      </c>
    </row>
    <row r="96" spans="12:27" x14ac:dyDescent="0.3">
      <c r="L96">
        <v>95</v>
      </c>
      <c r="M96" s="1">
        <f t="shared" si="16"/>
        <v>0.3</v>
      </c>
      <c r="N96" s="1">
        <f t="shared" si="17"/>
        <v>0</v>
      </c>
      <c r="O96" s="1">
        <f t="shared" si="18"/>
        <v>0</v>
      </c>
      <c r="P96" s="1">
        <f t="shared" si="19"/>
        <v>0</v>
      </c>
      <c r="Q96" s="1">
        <f t="shared" si="28"/>
        <v>0.3</v>
      </c>
      <c r="R96" s="1">
        <f t="shared" si="20"/>
        <v>0</v>
      </c>
      <c r="S96" s="1">
        <f t="shared" si="21"/>
        <v>0</v>
      </c>
      <c r="T96" s="1">
        <f t="shared" si="22"/>
        <v>0</v>
      </c>
      <c r="U96" s="1">
        <f t="shared" si="23"/>
        <v>0</v>
      </c>
      <c r="V96" s="1">
        <f t="shared" si="29"/>
        <v>0</v>
      </c>
      <c r="W96" s="1">
        <f t="shared" si="24"/>
        <v>0</v>
      </c>
      <c r="X96" s="1">
        <f t="shared" si="25"/>
        <v>0</v>
      </c>
      <c r="Y96" s="1">
        <f t="shared" si="26"/>
        <v>0</v>
      </c>
      <c r="Z96" s="1">
        <f t="shared" si="27"/>
        <v>0</v>
      </c>
      <c r="AA96" s="1">
        <f t="shared" si="30"/>
        <v>0</v>
      </c>
    </row>
    <row r="97" spans="12:27" x14ac:dyDescent="0.3">
      <c r="L97">
        <v>96</v>
      </c>
      <c r="M97" s="1">
        <f t="shared" si="16"/>
        <v>0.3</v>
      </c>
      <c r="N97" s="1">
        <f t="shared" si="17"/>
        <v>0</v>
      </c>
      <c r="O97" s="1">
        <f t="shared" si="18"/>
        <v>0</v>
      </c>
      <c r="P97" s="1">
        <f t="shared" si="19"/>
        <v>0</v>
      </c>
      <c r="Q97" s="1">
        <f t="shared" si="28"/>
        <v>0.3</v>
      </c>
      <c r="R97" s="1">
        <f t="shared" si="20"/>
        <v>0</v>
      </c>
      <c r="S97" s="1">
        <f t="shared" si="21"/>
        <v>0</v>
      </c>
      <c r="T97" s="1">
        <f t="shared" si="22"/>
        <v>0</v>
      </c>
      <c r="U97" s="1">
        <f t="shared" si="23"/>
        <v>0</v>
      </c>
      <c r="V97" s="1">
        <f t="shared" si="29"/>
        <v>0</v>
      </c>
      <c r="W97" s="1">
        <f t="shared" si="24"/>
        <v>0</v>
      </c>
      <c r="X97" s="1">
        <f t="shared" si="25"/>
        <v>0</v>
      </c>
      <c r="Y97" s="1">
        <f t="shared" si="26"/>
        <v>0</v>
      </c>
      <c r="Z97" s="1">
        <f t="shared" si="27"/>
        <v>0</v>
      </c>
      <c r="AA97" s="1">
        <f t="shared" si="30"/>
        <v>0</v>
      </c>
    </row>
    <row r="98" spans="12:27" x14ac:dyDescent="0.3">
      <c r="L98">
        <v>97</v>
      </c>
      <c r="M98" s="1">
        <f t="shared" si="16"/>
        <v>0.3</v>
      </c>
      <c r="N98" s="1">
        <f t="shared" si="17"/>
        <v>0</v>
      </c>
      <c r="O98" s="1">
        <f t="shared" si="18"/>
        <v>0</v>
      </c>
      <c r="P98" s="1">
        <f t="shared" si="19"/>
        <v>0</v>
      </c>
      <c r="Q98" s="1">
        <f t="shared" si="28"/>
        <v>0.3</v>
      </c>
      <c r="R98" s="1">
        <f t="shared" si="20"/>
        <v>0</v>
      </c>
      <c r="S98" s="1">
        <f t="shared" si="21"/>
        <v>0</v>
      </c>
      <c r="T98" s="1">
        <f t="shared" si="22"/>
        <v>0</v>
      </c>
      <c r="U98" s="1">
        <f t="shared" si="23"/>
        <v>0</v>
      </c>
      <c r="V98" s="1">
        <f t="shared" si="29"/>
        <v>0</v>
      </c>
      <c r="W98" s="1">
        <f t="shared" si="24"/>
        <v>0</v>
      </c>
      <c r="X98" s="1">
        <f t="shared" si="25"/>
        <v>0</v>
      </c>
      <c r="Y98" s="1">
        <f t="shared" si="26"/>
        <v>0</v>
      </c>
      <c r="Z98" s="1">
        <f t="shared" si="27"/>
        <v>0</v>
      </c>
      <c r="AA98" s="1">
        <f t="shared" si="30"/>
        <v>0</v>
      </c>
    </row>
    <row r="99" spans="12:27" x14ac:dyDescent="0.3">
      <c r="L99">
        <v>98</v>
      </c>
      <c r="M99" s="1">
        <f t="shared" si="16"/>
        <v>0.3</v>
      </c>
      <c r="N99" s="1">
        <f t="shared" si="17"/>
        <v>0</v>
      </c>
      <c r="O99" s="1">
        <f t="shared" si="18"/>
        <v>0</v>
      </c>
      <c r="P99" s="1">
        <f t="shared" si="19"/>
        <v>0</v>
      </c>
      <c r="Q99" s="1">
        <f t="shared" si="28"/>
        <v>0.3</v>
      </c>
      <c r="R99" s="1">
        <f t="shared" si="20"/>
        <v>0</v>
      </c>
      <c r="S99" s="1">
        <f t="shared" si="21"/>
        <v>0</v>
      </c>
      <c r="T99" s="1">
        <f t="shared" si="22"/>
        <v>0</v>
      </c>
      <c r="U99" s="1">
        <f t="shared" si="23"/>
        <v>0</v>
      </c>
      <c r="V99" s="1">
        <f t="shared" si="29"/>
        <v>0</v>
      </c>
      <c r="W99" s="1">
        <f t="shared" si="24"/>
        <v>0</v>
      </c>
      <c r="X99" s="1">
        <f t="shared" si="25"/>
        <v>0</v>
      </c>
      <c r="Y99" s="1">
        <f t="shared" si="26"/>
        <v>0</v>
      </c>
      <c r="Z99" s="1">
        <f t="shared" si="27"/>
        <v>0</v>
      </c>
      <c r="AA99" s="1">
        <f t="shared" si="30"/>
        <v>0</v>
      </c>
    </row>
    <row r="100" spans="12:27" x14ac:dyDescent="0.3">
      <c r="L100">
        <v>99</v>
      </c>
      <c r="M100" s="1">
        <f t="shared" si="16"/>
        <v>0.3</v>
      </c>
      <c r="N100" s="1">
        <f t="shared" si="17"/>
        <v>0</v>
      </c>
      <c r="O100" s="1">
        <f t="shared" si="18"/>
        <v>0</v>
      </c>
      <c r="P100" s="1">
        <f t="shared" si="19"/>
        <v>0</v>
      </c>
      <c r="Q100" s="1">
        <f t="shared" si="28"/>
        <v>0.3</v>
      </c>
      <c r="R100" s="1">
        <f t="shared" si="20"/>
        <v>0</v>
      </c>
      <c r="S100" s="1">
        <f t="shared" si="21"/>
        <v>0</v>
      </c>
      <c r="T100" s="1">
        <f t="shared" si="22"/>
        <v>0</v>
      </c>
      <c r="U100" s="1">
        <f t="shared" si="23"/>
        <v>0</v>
      </c>
      <c r="V100" s="1">
        <f t="shared" si="29"/>
        <v>0</v>
      </c>
      <c r="W100" s="1">
        <f t="shared" si="24"/>
        <v>0</v>
      </c>
      <c r="X100" s="1">
        <f t="shared" si="25"/>
        <v>0</v>
      </c>
      <c r="Y100" s="1">
        <f t="shared" si="26"/>
        <v>0</v>
      </c>
      <c r="Z100" s="1">
        <f t="shared" si="27"/>
        <v>0</v>
      </c>
      <c r="AA100" s="1">
        <f t="shared" si="30"/>
        <v>0</v>
      </c>
    </row>
    <row r="101" spans="12:27" x14ac:dyDescent="0.3">
      <c r="L101">
        <v>100</v>
      </c>
      <c r="M101" s="1">
        <f t="shared" si="16"/>
        <v>0.3</v>
      </c>
      <c r="N101" s="1">
        <f t="shared" si="17"/>
        <v>0</v>
      </c>
      <c r="O101" s="1">
        <f t="shared" si="18"/>
        <v>0</v>
      </c>
      <c r="P101" s="1">
        <f t="shared" si="19"/>
        <v>0</v>
      </c>
      <c r="Q101" s="1">
        <f t="shared" si="28"/>
        <v>0.3</v>
      </c>
      <c r="R101" s="1">
        <f t="shared" si="20"/>
        <v>0</v>
      </c>
      <c r="S101" s="1">
        <f t="shared" si="21"/>
        <v>0</v>
      </c>
      <c r="T101" s="1">
        <f t="shared" si="22"/>
        <v>0</v>
      </c>
      <c r="U101" s="1">
        <f t="shared" si="23"/>
        <v>0</v>
      </c>
      <c r="V101" s="1">
        <f t="shared" si="29"/>
        <v>0</v>
      </c>
      <c r="W101" s="1">
        <f t="shared" si="24"/>
        <v>0</v>
      </c>
      <c r="X101" s="1">
        <f t="shared" si="25"/>
        <v>0</v>
      </c>
      <c r="Y101" s="1">
        <f t="shared" si="26"/>
        <v>0</v>
      </c>
      <c r="Z101" s="1">
        <f t="shared" si="27"/>
        <v>0</v>
      </c>
      <c r="AA101" s="1">
        <f t="shared" si="30"/>
        <v>0</v>
      </c>
    </row>
    <row r="102" spans="12:27" x14ac:dyDescent="0.3">
      <c r="L102">
        <v>101</v>
      </c>
      <c r="M102" s="1">
        <f t="shared" si="16"/>
        <v>0.3</v>
      </c>
      <c r="N102" s="1">
        <f t="shared" si="17"/>
        <v>0</v>
      </c>
      <c r="O102" s="1">
        <f t="shared" si="18"/>
        <v>0</v>
      </c>
      <c r="P102" s="1">
        <f t="shared" si="19"/>
        <v>0</v>
      </c>
      <c r="Q102" s="1">
        <f t="shared" si="28"/>
        <v>0.3</v>
      </c>
      <c r="R102" s="1">
        <f t="shared" si="20"/>
        <v>0</v>
      </c>
      <c r="S102" s="1">
        <f t="shared" si="21"/>
        <v>0</v>
      </c>
      <c r="T102" s="1">
        <f t="shared" si="22"/>
        <v>0</v>
      </c>
      <c r="U102" s="1">
        <f t="shared" si="23"/>
        <v>0</v>
      </c>
      <c r="V102" s="1">
        <f t="shared" si="29"/>
        <v>0</v>
      </c>
      <c r="W102" s="1">
        <f t="shared" si="24"/>
        <v>0</v>
      </c>
      <c r="X102" s="1">
        <f t="shared" si="25"/>
        <v>0</v>
      </c>
      <c r="Y102" s="1">
        <f t="shared" si="26"/>
        <v>0</v>
      </c>
      <c r="Z102" s="1">
        <f t="shared" si="27"/>
        <v>0</v>
      </c>
      <c r="AA102" s="1">
        <f t="shared" si="30"/>
        <v>0</v>
      </c>
    </row>
    <row r="103" spans="12:27" x14ac:dyDescent="0.3">
      <c r="L103">
        <v>102</v>
      </c>
      <c r="M103" s="1">
        <f t="shared" si="16"/>
        <v>0.3</v>
      </c>
      <c r="N103" s="1">
        <f t="shared" si="17"/>
        <v>0</v>
      </c>
      <c r="O103" s="1">
        <f t="shared" si="18"/>
        <v>0</v>
      </c>
      <c r="P103" s="1">
        <f t="shared" si="19"/>
        <v>0</v>
      </c>
      <c r="Q103" s="1">
        <f t="shared" si="28"/>
        <v>0.3</v>
      </c>
      <c r="R103" s="1">
        <f t="shared" si="20"/>
        <v>0</v>
      </c>
      <c r="S103" s="1">
        <f t="shared" si="21"/>
        <v>0</v>
      </c>
      <c r="T103" s="1">
        <f t="shared" si="22"/>
        <v>0</v>
      </c>
      <c r="U103" s="1">
        <f t="shared" si="23"/>
        <v>0</v>
      </c>
      <c r="V103" s="1">
        <f t="shared" si="29"/>
        <v>0</v>
      </c>
      <c r="W103" s="1">
        <f t="shared" si="24"/>
        <v>0</v>
      </c>
      <c r="X103" s="1">
        <f t="shared" si="25"/>
        <v>0</v>
      </c>
      <c r="Y103" s="1">
        <f t="shared" si="26"/>
        <v>0</v>
      </c>
      <c r="Z103" s="1">
        <f t="shared" si="27"/>
        <v>0</v>
      </c>
      <c r="AA103" s="1">
        <f t="shared" si="30"/>
        <v>0</v>
      </c>
    </row>
    <row r="104" spans="12:27" x14ac:dyDescent="0.3">
      <c r="L104">
        <v>103</v>
      </c>
      <c r="M104" s="1">
        <f t="shared" si="16"/>
        <v>0.3</v>
      </c>
      <c r="N104" s="1">
        <f t="shared" si="17"/>
        <v>0</v>
      </c>
      <c r="O104" s="1">
        <f t="shared" si="18"/>
        <v>0</v>
      </c>
      <c r="P104" s="1">
        <f t="shared" si="19"/>
        <v>0</v>
      </c>
      <c r="Q104" s="1">
        <f t="shared" si="28"/>
        <v>0.3</v>
      </c>
      <c r="R104" s="1">
        <f t="shared" si="20"/>
        <v>0</v>
      </c>
      <c r="S104" s="1">
        <f t="shared" si="21"/>
        <v>0</v>
      </c>
      <c r="T104" s="1">
        <f t="shared" si="22"/>
        <v>0</v>
      </c>
      <c r="U104" s="1">
        <f t="shared" si="23"/>
        <v>0</v>
      </c>
      <c r="V104" s="1">
        <f t="shared" si="29"/>
        <v>0</v>
      </c>
      <c r="W104" s="1">
        <f t="shared" si="24"/>
        <v>0</v>
      </c>
      <c r="X104" s="1">
        <f t="shared" si="25"/>
        <v>0</v>
      </c>
      <c r="Y104" s="1">
        <f t="shared" si="26"/>
        <v>0</v>
      </c>
      <c r="Z104" s="1">
        <f t="shared" si="27"/>
        <v>0</v>
      </c>
      <c r="AA104" s="1">
        <f t="shared" si="30"/>
        <v>0</v>
      </c>
    </row>
    <row r="105" spans="12:27" x14ac:dyDescent="0.3">
      <c r="L105">
        <v>104</v>
      </c>
      <c r="M105" s="1">
        <f t="shared" si="16"/>
        <v>0.3</v>
      </c>
      <c r="N105" s="1">
        <f t="shared" si="17"/>
        <v>0</v>
      </c>
      <c r="O105" s="1">
        <f t="shared" si="18"/>
        <v>0</v>
      </c>
      <c r="P105" s="1">
        <f t="shared" si="19"/>
        <v>0</v>
      </c>
      <c r="Q105" s="1">
        <f t="shared" si="28"/>
        <v>0.3</v>
      </c>
      <c r="R105" s="1">
        <f t="shared" si="20"/>
        <v>0</v>
      </c>
      <c r="S105" s="1">
        <f t="shared" si="21"/>
        <v>0</v>
      </c>
      <c r="T105" s="1">
        <f t="shared" si="22"/>
        <v>0</v>
      </c>
      <c r="U105" s="1">
        <f t="shared" si="23"/>
        <v>0</v>
      </c>
      <c r="V105" s="1">
        <f t="shared" si="29"/>
        <v>0</v>
      </c>
      <c r="W105" s="1">
        <f t="shared" si="24"/>
        <v>0</v>
      </c>
      <c r="X105" s="1">
        <f t="shared" si="25"/>
        <v>0</v>
      </c>
      <c r="Y105" s="1">
        <f t="shared" si="26"/>
        <v>0</v>
      </c>
      <c r="Z105" s="1">
        <f t="shared" si="27"/>
        <v>0</v>
      </c>
      <c r="AA105" s="1">
        <f t="shared" si="30"/>
        <v>0</v>
      </c>
    </row>
    <row r="106" spans="12:27" x14ac:dyDescent="0.3">
      <c r="L106">
        <v>105</v>
      </c>
      <c r="M106" s="1">
        <f t="shared" si="16"/>
        <v>0.3</v>
      </c>
      <c r="N106" s="1">
        <f t="shared" si="17"/>
        <v>0</v>
      </c>
      <c r="O106" s="1">
        <f t="shared" si="18"/>
        <v>0</v>
      </c>
      <c r="P106" s="1">
        <f t="shared" si="19"/>
        <v>0</v>
      </c>
      <c r="Q106" s="1">
        <f t="shared" si="28"/>
        <v>0.3</v>
      </c>
      <c r="R106" s="1">
        <f t="shared" si="20"/>
        <v>0</v>
      </c>
      <c r="S106" s="1">
        <f t="shared" si="21"/>
        <v>0</v>
      </c>
      <c r="T106" s="1">
        <f t="shared" si="22"/>
        <v>0</v>
      </c>
      <c r="U106" s="1">
        <f t="shared" si="23"/>
        <v>0</v>
      </c>
      <c r="V106" s="1">
        <f t="shared" si="29"/>
        <v>0</v>
      </c>
      <c r="W106" s="1">
        <f t="shared" si="24"/>
        <v>0</v>
      </c>
      <c r="X106" s="1">
        <f t="shared" si="25"/>
        <v>0</v>
      </c>
      <c r="Y106" s="1">
        <f t="shared" si="26"/>
        <v>0</v>
      </c>
      <c r="Z106" s="1">
        <f t="shared" si="27"/>
        <v>0</v>
      </c>
      <c r="AA106" s="1">
        <f t="shared" si="30"/>
        <v>0</v>
      </c>
    </row>
    <row r="107" spans="12:27" x14ac:dyDescent="0.3">
      <c r="L107">
        <v>106</v>
      </c>
      <c r="M107" s="1">
        <f t="shared" si="16"/>
        <v>0.3</v>
      </c>
      <c r="N107" s="1">
        <f t="shared" si="17"/>
        <v>0</v>
      </c>
      <c r="O107" s="1">
        <f t="shared" si="18"/>
        <v>0</v>
      </c>
      <c r="P107" s="1">
        <f t="shared" si="19"/>
        <v>0</v>
      </c>
      <c r="Q107" s="1">
        <f t="shared" si="28"/>
        <v>0.3</v>
      </c>
      <c r="R107" s="1">
        <f t="shared" si="20"/>
        <v>0</v>
      </c>
      <c r="S107" s="1">
        <f t="shared" si="21"/>
        <v>0</v>
      </c>
      <c r="T107" s="1">
        <f t="shared" si="22"/>
        <v>0</v>
      </c>
      <c r="U107" s="1">
        <f t="shared" si="23"/>
        <v>0</v>
      </c>
      <c r="V107" s="1">
        <f t="shared" si="29"/>
        <v>0</v>
      </c>
      <c r="W107" s="1">
        <f t="shared" si="24"/>
        <v>0</v>
      </c>
      <c r="X107" s="1">
        <f t="shared" si="25"/>
        <v>0</v>
      </c>
      <c r="Y107" s="1">
        <f t="shared" si="26"/>
        <v>0</v>
      </c>
      <c r="Z107" s="1">
        <f t="shared" si="27"/>
        <v>0</v>
      </c>
      <c r="AA107" s="1">
        <f t="shared" si="30"/>
        <v>0</v>
      </c>
    </row>
    <row r="108" spans="12:27" x14ac:dyDescent="0.3">
      <c r="L108">
        <v>107</v>
      </c>
      <c r="M108" s="1">
        <f t="shared" si="16"/>
        <v>0.3</v>
      </c>
      <c r="N108" s="1">
        <f t="shared" si="17"/>
        <v>0</v>
      </c>
      <c r="O108" s="1">
        <f t="shared" si="18"/>
        <v>0</v>
      </c>
      <c r="P108" s="1">
        <f t="shared" si="19"/>
        <v>0</v>
      </c>
      <c r="Q108" s="1">
        <f t="shared" si="28"/>
        <v>0.3</v>
      </c>
      <c r="R108" s="1">
        <f t="shared" si="20"/>
        <v>0</v>
      </c>
      <c r="S108" s="1">
        <f t="shared" si="21"/>
        <v>0</v>
      </c>
      <c r="T108" s="1">
        <f t="shared" si="22"/>
        <v>0</v>
      </c>
      <c r="U108" s="1">
        <f t="shared" si="23"/>
        <v>0</v>
      </c>
      <c r="V108" s="1">
        <f t="shared" si="29"/>
        <v>0</v>
      </c>
      <c r="W108" s="1">
        <f t="shared" si="24"/>
        <v>0</v>
      </c>
      <c r="X108" s="1">
        <f t="shared" si="25"/>
        <v>0</v>
      </c>
      <c r="Y108" s="1">
        <f t="shared" si="26"/>
        <v>0</v>
      </c>
      <c r="Z108" s="1">
        <f t="shared" si="27"/>
        <v>0</v>
      </c>
      <c r="AA108" s="1">
        <f t="shared" si="30"/>
        <v>0</v>
      </c>
    </row>
    <row r="109" spans="12:27" x14ac:dyDescent="0.3">
      <c r="L109">
        <v>108</v>
      </c>
      <c r="M109" s="1">
        <f t="shared" si="16"/>
        <v>0.3</v>
      </c>
      <c r="N109" s="1">
        <f t="shared" si="17"/>
        <v>0</v>
      </c>
      <c r="O109" s="1">
        <f t="shared" si="18"/>
        <v>0</v>
      </c>
      <c r="P109" s="1">
        <f t="shared" si="19"/>
        <v>0</v>
      </c>
      <c r="Q109" s="1">
        <f t="shared" si="28"/>
        <v>0.3</v>
      </c>
      <c r="R109" s="1">
        <f t="shared" si="20"/>
        <v>0</v>
      </c>
      <c r="S109" s="1">
        <f t="shared" si="21"/>
        <v>0</v>
      </c>
      <c r="T109" s="1">
        <f t="shared" si="22"/>
        <v>0</v>
      </c>
      <c r="U109" s="1">
        <f t="shared" si="23"/>
        <v>0</v>
      </c>
      <c r="V109" s="1">
        <f t="shared" si="29"/>
        <v>0</v>
      </c>
      <c r="W109" s="1">
        <f t="shared" si="24"/>
        <v>0</v>
      </c>
      <c r="X109" s="1">
        <f t="shared" si="25"/>
        <v>0</v>
      </c>
      <c r="Y109" s="1">
        <f t="shared" si="26"/>
        <v>0</v>
      </c>
      <c r="Z109" s="1">
        <f t="shared" si="27"/>
        <v>0</v>
      </c>
      <c r="AA109" s="1">
        <f t="shared" si="30"/>
        <v>0</v>
      </c>
    </row>
    <row r="110" spans="12:27" x14ac:dyDescent="0.3">
      <c r="L110">
        <v>109</v>
      </c>
      <c r="M110" s="1">
        <f t="shared" si="16"/>
        <v>0.3</v>
      </c>
      <c r="N110" s="1">
        <f t="shared" si="17"/>
        <v>0</v>
      </c>
      <c r="O110" s="1">
        <f t="shared" si="18"/>
        <v>0</v>
      </c>
      <c r="P110" s="1">
        <f t="shared" si="19"/>
        <v>0</v>
      </c>
      <c r="Q110" s="1">
        <f t="shared" si="28"/>
        <v>0.3</v>
      </c>
      <c r="R110" s="1">
        <f t="shared" si="20"/>
        <v>0</v>
      </c>
      <c r="S110" s="1">
        <f t="shared" si="21"/>
        <v>0</v>
      </c>
      <c r="T110" s="1">
        <f t="shared" si="22"/>
        <v>0</v>
      </c>
      <c r="U110" s="1">
        <f t="shared" si="23"/>
        <v>0</v>
      </c>
      <c r="V110" s="1">
        <f t="shared" si="29"/>
        <v>0</v>
      </c>
      <c r="W110" s="1">
        <f t="shared" si="24"/>
        <v>0</v>
      </c>
      <c r="X110" s="1">
        <f t="shared" si="25"/>
        <v>0</v>
      </c>
      <c r="Y110" s="1">
        <f t="shared" si="26"/>
        <v>0</v>
      </c>
      <c r="Z110" s="1">
        <f t="shared" si="27"/>
        <v>0</v>
      </c>
      <c r="AA110" s="1">
        <f t="shared" si="30"/>
        <v>0</v>
      </c>
    </row>
    <row r="111" spans="12:27" x14ac:dyDescent="0.3">
      <c r="L111">
        <v>110</v>
      </c>
      <c r="M111" s="1">
        <f t="shared" si="16"/>
        <v>0.3</v>
      </c>
      <c r="N111" s="1">
        <f t="shared" si="17"/>
        <v>0</v>
      </c>
      <c r="O111" s="1">
        <f t="shared" si="18"/>
        <v>0</v>
      </c>
      <c r="P111" s="1">
        <f t="shared" si="19"/>
        <v>0</v>
      </c>
      <c r="Q111" s="1">
        <f t="shared" si="28"/>
        <v>0.3</v>
      </c>
      <c r="R111" s="1">
        <f t="shared" si="20"/>
        <v>0</v>
      </c>
      <c r="S111" s="1">
        <f t="shared" si="21"/>
        <v>0</v>
      </c>
      <c r="T111" s="1">
        <f t="shared" si="22"/>
        <v>0</v>
      </c>
      <c r="U111" s="1">
        <f t="shared" si="23"/>
        <v>0</v>
      </c>
      <c r="V111" s="1">
        <f t="shared" si="29"/>
        <v>0</v>
      </c>
      <c r="W111" s="1">
        <f t="shared" si="24"/>
        <v>0</v>
      </c>
      <c r="X111" s="1">
        <f t="shared" si="25"/>
        <v>0</v>
      </c>
      <c r="Y111" s="1">
        <f t="shared" si="26"/>
        <v>0</v>
      </c>
      <c r="Z111" s="1">
        <f t="shared" si="27"/>
        <v>0</v>
      </c>
      <c r="AA111" s="1">
        <f t="shared" si="30"/>
        <v>0</v>
      </c>
    </row>
    <row r="112" spans="12:27" x14ac:dyDescent="0.3">
      <c r="L112">
        <v>111</v>
      </c>
      <c r="M112" s="1">
        <f t="shared" si="16"/>
        <v>0.3</v>
      </c>
      <c r="N112" s="1">
        <f t="shared" si="17"/>
        <v>0.3</v>
      </c>
      <c r="O112" s="1">
        <f t="shared" si="18"/>
        <v>0</v>
      </c>
      <c r="P112" s="1">
        <f t="shared" si="19"/>
        <v>0</v>
      </c>
      <c r="Q112" s="1">
        <f t="shared" si="28"/>
        <v>0.3</v>
      </c>
      <c r="R112" s="1">
        <f t="shared" si="20"/>
        <v>0</v>
      </c>
      <c r="S112" s="1">
        <f t="shared" si="21"/>
        <v>0</v>
      </c>
      <c r="T112" s="1">
        <f t="shared" si="22"/>
        <v>0</v>
      </c>
      <c r="U112" s="1">
        <f t="shared" si="23"/>
        <v>0</v>
      </c>
      <c r="V112" s="1">
        <f t="shared" si="29"/>
        <v>0</v>
      </c>
      <c r="W112" s="1">
        <f t="shared" si="24"/>
        <v>0</v>
      </c>
      <c r="X112" s="1">
        <f t="shared" si="25"/>
        <v>0</v>
      </c>
      <c r="Y112" s="1">
        <f t="shared" si="26"/>
        <v>0</v>
      </c>
      <c r="Z112" s="1">
        <f t="shared" si="27"/>
        <v>0</v>
      </c>
      <c r="AA112" s="1">
        <f t="shared" si="30"/>
        <v>0</v>
      </c>
    </row>
    <row r="113" spans="12:27" x14ac:dyDescent="0.3">
      <c r="L113">
        <v>112</v>
      </c>
      <c r="M113" s="1">
        <f t="shared" si="16"/>
        <v>0</v>
      </c>
      <c r="N113" s="1">
        <f t="shared" si="17"/>
        <v>0.32571428571428568</v>
      </c>
      <c r="O113" s="1">
        <f t="shared" si="18"/>
        <v>0</v>
      </c>
      <c r="P113" s="1">
        <f t="shared" si="19"/>
        <v>0</v>
      </c>
      <c r="Q113" s="1">
        <f t="shared" si="28"/>
        <v>0.32571428571428568</v>
      </c>
      <c r="R113" s="1">
        <f t="shared" si="20"/>
        <v>0</v>
      </c>
      <c r="S113" s="1">
        <f t="shared" si="21"/>
        <v>0</v>
      </c>
      <c r="T113" s="1">
        <f t="shared" si="22"/>
        <v>0</v>
      </c>
      <c r="U113" s="1">
        <f t="shared" si="23"/>
        <v>0</v>
      </c>
      <c r="V113" s="1">
        <f t="shared" si="29"/>
        <v>0</v>
      </c>
      <c r="W113" s="1">
        <f t="shared" si="24"/>
        <v>0</v>
      </c>
      <c r="X113" s="1">
        <f t="shared" si="25"/>
        <v>0</v>
      </c>
      <c r="Y113" s="1">
        <f t="shared" si="26"/>
        <v>0</v>
      </c>
      <c r="Z113" s="1">
        <f t="shared" si="27"/>
        <v>0</v>
      </c>
      <c r="AA113" s="1">
        <f t="shared" si="30"/>
        <v>0</v>
      </c>
    </row>
    <row r="114" spans="12:27" x14ac:dyDescent="0.3">
      <c r="L114">
        <v>113</v>
      </c>
      <c r="M114" s="1">
        <f t="shared" si="16"/>
        <v>0</v>
      </c>
      <c r="N114" s="1">
        <f t="shared" si="17"/>
        <v>0.35142857142857142</v>
      </c>
      <c r="O114" s="1">
        <f t="shared" si="18"/>
        <v>0</v>
      </c>
      <c r="P114" s="1">
        <f t="shared" si="19"/>
        <v>0</v>
      </c>
      <c r="Q114" s="1">
        <f t="shared" si="28"/>
        <v>0.35142857142857142</v>
      </c>
      <c r="R114" s="1">
        <f t="shared" si="20"/>
        <v>0</v>
      </c>
      <c r="S114" s="1">
        <f t="shared" si="21"/>
        <v>0</v>
      </c>
      <c r="T114" s="1">
        <f t="shared" si="22"/>
        <v>0</v>
      </c>
      <c r="U114" s="1">
        <f t="shared" si="23"/>
        <v>0</v>
      </c>
      <c r="V114" s="1">
        <f t="shared" si="29"/>
        <v>0</v>
      </c>
      <c r="W114" s="1">
        <f t="shared" si="24"/>
        <v>0</v>
      </c>
      <c r="X114" s="1">
        <f t="shared" si="25"/>
        <v>0</v>
      </c>
      <c r="Y114" s="1">
        <f t="shared" si="26"/>
        <v>0</v>
      </c>
      <c r="Z114" s="1">
        <f t="shared" si="27"/>
        <v>0</v>
      </c>
      <c r="AA114" s="1">
        <f t="shared" si="30"/>
        <v>0</v>
      </c>
    </row>
    <row r="115" spans="12:27" x14ac:dyDescent="0.3">
      <c r="L115">
        <v>114</v>
      </c>
      <c r="M115" s="1">
        <f t="shared" si="16"/>
        <v>0</v>
      </c>
      <c r="N115" s="1">
        <f t="shared" si="17"/>
        <v>0.37714285714285711</v>
      </c>
      <c r="O115" s="1">
        <f t="shared" si="18"/>
        <v>0</v>
      </c>
      <c r="P115" s="1">
        <f t="shared" si="19"/>
        <v>0</v>
      </c>
      <c r="Q115" s="1">
        <f t="shared" si="28"/>
        <v>0.37714285714285711</v>
      </c>
      <c r="R115" s="1">
        <f t="shared" si="20"/>
        <v>0</v>
      </c>
      <c r="S115" s="1">
        <f t="shared" si="21"/>
        <v>0</v>
      </c>
      <c r="T115" s="1">
        <f t="shared" si="22"/>
        <v>0</v>
      </c>
      <c r="U115" s="1">
        <f t="shared" si="23"/>
        <v>0</v>
      </c>
      <c r="V115" s="1">
        <f t="shared" si="29"/>
        <v>0</v>
      </c>
      <c r="W115" s="1">
        <f t="shared" si="24"/>
        <v>0</v>
      </c>
      <c r="X115" s="1">
        <f t="shared" si="25"/>
        <v>0</v>
      </c>
      <c r="Y115" s="1">
        <f t="shared" si="26"/>
        <v>0</v>
      </c>
      <c r="Z115" s="1">
        <f t="shared" si="27"/>
        <v>0</v>
      </c>
      <c r="AA115" s="1">
        <f t="shared" si="30"/>
        <v>0</v>
      </c>
    </row>
    <row r="116" spans="12:27" x14ac:dyDescent="0.3">
      <c r="L116">
        <v>115</v>
      </c>
      <c r="M116" s="1">
        <f t="shared" si="16"/>
        <v>0</v>
      </c>
      <c r="N116" s="1">
        <f t="shared" si="17"/>
        <v>0.4028571428571428</v>
      </c>
      <c r="O116" s="1">
        <f t="shared" si="18"/>
        <v>0</v>
      </c>
      <c r="P116" s="1">
        <f t="shared" si="19"/>
        <v>0</v>
      </c>
      <c r="Q116" s="1">
        <f t="shared" si="28"/>
        <v>0.4028571428571428</v>
      </c>
      <c r="R116" s="1">
        <f t="shared" si="20"/>
        <v>0</v>
      </c>
      <c r="S116" s="1">
        <f t="shared" si="21"/>
        <v>0</v>
      </c>
      <c r="T116" s="1">
        <f t="shared" si="22"/>
        <v>0</v>
      </c>
      <c r="U116" s="1">
        <f t="shared" si="23"/>
        <v>0</v>
      </c>
      <c r="V116" s="1">
        <f t="shared" si="29"/>
        <v>0</v>
      </c>
      <c r="W116" s="1">
        <f t="shared" si="24"/>
        <v>0</v>
      </c>
      <c r="X116" s="1">
        <f t="shared" si="25"/>
        <v>0</v>
      </c>
      <c r="Y116" s="1">
        <f t="shared" si="26"/>
        <v>0</v>
      </c>
      <c r="Z116" s="1">
        <f t="shared" si="27"/>
        <v>0</v>
      </c>
      <c r="AA116" s="1">
        <f t="shared" si="30"/>
        <v>0</v>
      </c>
    </row>
    <row r="117" spans="12:27" x14ac:dyDescent="0.3">
      <c r="L117">
        <v>116</v>
      </c>
      <c r="M117" s="1">
        <f t="shared" si="16"/>
        <v>0</v>
      </c>
      <c r="N117" s="1">
        <f t="shared" si="17"/>
        <v>0.42857142857142855</v>
      </c>
      <c r="O117" s="1">
        <f t="shared" si="18"/>
        <v>0</v>
      </c>
      <c r="P117" s="1">
        <f t="shared" si="19"/>
        <v>0</v>
      </c>
      <c r="Q117" s="1">
        <f t="shared" si="28"/>
        <v>0.42857142857142855</v>
      </c>
      <c r="R117" s="1">
        <f t="shared" si="20"/>
        <v>0</v>
      </c>
      <c r="S117" s="1">
        <f t="shared" si="21"/>
        <v>0</v>
      </c>
      <c r="T117" s="1">
        <f t="shared" si="22"/>
        <v>0</v>
      </c>
      <c r="U117" s="1">
        <f t="shared" si="23"/>
        <v>0</v>
      </c>
      <c r="V117" s="1">
        <f t="shared" si="29"/>
        <v>0</v>
      </c>
      <c r="W117" s="1">
        <f t="shared" si="24"/>
        <v>0</v>
      </c>
      <c r="X117" s="1">
        <f t="shared" si="25"/>
        <v>0</v>
      </c>
      <c r="Y117" s="1">
        <f t="shared" si="26"/>
        <v>0</v>
      </c>
      <c r="Z117" s="1">
        <f t="shared" si="27"/>
        <v>0</v>
      </c>
      <c r="AA117" s="1">
        <f t="shared" si="30"/>
        <v>0</v>
      </c>
    </row>
    <row r="118" spans="12:27" x14ac:dyDescent="0.3">
      <c r="L118">
        <v>117</v>
      </c>
      <c r="M118" s="1">
        <f t="shared" si="16"/>
        <v>0</v>
      </c>
      <c r="N118" s="1">
        <f t="shared" si="17"/>
        <v>0.45428571428571429</v>
      </c>
      <c r="O118" s="1">
        <f t="shared" si="18"/>
        <v>0</v>
      </c>
      <c r="P118" s="1">
        <f t="shared" si="19"/>
        <v>0</v>
      </c>
      <c r="Q118" s="1">
        <f t="shared" si="28"/>
        <v>0.45428571428571429</v>
      </c>
      <c r="R118" s="1">
        <f t="shared" si="20"/>
        <v>0</v>
      </c>
      <c r="S118" s="1">
        <f t="shared" si="21"/>
        <v>0</v>
      </c>
      <c r="T118" s="1">
        <f t="shared" si="22"/>
        <v>0</v>
      </c>
      <c r="U118" s="1">
        <f t="shared" si="23"/>
        <v>0</v>
      </c>
      <c r="V118" s="1">
        <f t="shared" si="29"/>
        <v>0</v>
      </c>
      <c r="W118" s="1">
        <f t="shared" si="24"/>
        <v>0</v>
      </c>
      <c r="X118" s="1">
        <f t="shared" si="25"/>
        <v>0</v>
      </c>
      <c r="Y118" s="1">
        <f t="shared" si="26"/>
        <v>0</v>
      </c>
      <c r="Z118" s="1">
        <f t="shared" si="27"/>
        <v>0</v>
      </c>
      <c r="AA118" s="1">
        <f t="shared" si="30"/>
        <v>0</v>
      </c>
    </row>
    <row r="119" spans="12:27" x14ac:dyDescent="0.3">
      <c r="L119">
        <v>118</v>
      </c>
      <c r="M119" s="1">
        <f t="shared" si="16"/>
        <v>0</v>
      </c>
      <c r="N119" s="1">
        <f t="shared" si="17"/>
        <v>0.48</v>
      </c>
      <c r="O119" s="1">
        <f t="shared" si="18"/>
        <v>0</v>
      </c>
      <c r="P119" s="1">
        <f t="shared" si="19"/>
        <v>0</v>
      </c>
      <c r="Q119" s="1">
        <f t="shared" si="28"/>
        <v>0.48</v>
      </c>
      <c r="R119" s="1">
        <f t="shared" si="20"/>
        <v>0</v>
      </c>
      <c r="S119" s="1">
        <f t="shared" si="21"/>
        <v>0</v>
      </c>
      <c r="T119" s="1">
        <f t="shared" si="22"/>
        <v>0</v>
      </c>
      <c r="U119" s="1">
        <f t="shared" si="23"/>
        <v>0</v>
      </c>
      <c r="V119" s="1">
        <f t="shared" si="29"/>
        <v>0</v>
      </c>
      <c r="W119" s="1">
        <f t="shared" si="24"/>
        <v>0</v>
      </c>
      <c r="X119" s="1">
        <f t="shared" si="25"/>
        <v>0</v>
      </c>
      <c r="Y119" s="1">
        <f t="shared" si="26"/>
        <v>0</v>
      </c>
      <c r="Z119" s="1">
        <f t="shared" si="27"/>
        <v>0</v>
      </c>
      <c r="AA119" s="1">
        <f t="shared" si="30"/>
        <v>0</v>
      </c>
    </row>
    <row r="120" spans="12:27" x14ac:dyDescent="0.3">
      <c r="L120">
        <v>119</v>
      </c>
      <c r="M120" s="1">
        <f t="shared" si="16"/>
        <v>0</v>
      </c>
      <c r="N120" s="1">
        <f t="shared" si="17"/>
        <v>0.50571428571428567</v>
      </c>
      <c r="O120" s="1">
        <f t="shared" si="18"/>
        <v>0</v>
      </c>
      <c r="P120" s="1">
        <f t="shared" si="19"/>
        <v>0</v>
      </c>
      <c r="Q120" s="1">
        <f t="shared" si="28"/>
        <v>0.50571428571428567</v>
      </c>
      <c r="R120" s="1">
        <f t="shared" si="20"/>
        <v>0</v>
      </c>
      <c r="S120" s="1">
        <f t="shared" si="21"/>
        <v>0</v>
      </c>
      <c r="T120" s="1">
        <f t="shared" si="22"/>
        <v>0</v>
      </c>
      <c r="U120" s="1">
        <f t="shared" si="23"/>
        <v>0</v>
      </c>
      <c r="V120" s="1">
        <f t="shared" si="29"/>
        <v>0</v>
      </c>
      <c r="W120" s="1">
        <f t="shared" si="24"/>
        <v>0</v>
      </c>
      <c r="X120" s="1">
        <f t="shared" si="25"/>
        <v>0</v>
      </c>
      <c r="Y120" s="1">
        <f t="shared" si="26"/>
        <v>0</v>
      </c>
      <c r="Z120" s="1">
        <f t="shared" si="27"/>
        <v>0</v>
      </c>
      <c r="AA120" s="1">
        <f t="shared" si="30"/>
        <v>0</v>
      </c>
    </row>
    <row r="121" spans="12:27" x14ac:dyDescent="0.3">
      <c r="L121">
        <v>120</v>
      </c>
      <c r="M121" s="1">
        <f t="shared" si="16"/>
        <v>0</v>
      </c>
      <c r="N121" s="1">
        <f t="shared" si="17"/>
        <v>0.53142857142857136</v>
      </c>
      <c r="O121" s="1">
        <f t="shared" si="18"/>
        <v>0</v>
      </c>
      <c r="P121" s="1">
        <f t="shared" si="19"/>
        <v>0</v>
      </c>
      <c r="Q121" s="1">
        <f t="shared" si="28"/>
        <v>0.53142857142857136</v>
      </c>
      <c r="R121" s="1">
        <f t="shared" si="20"/>
        <v>0</v>
      </c>
      <c r="S121" s="1">
        <f t="shared" si="21"/>
        <v>0</v>
      </c>
      <c r="T121" s="1">
        <f t="shared" si="22"/>
        <v>0</v>
      </c>
      <c r="U121" s="1">
        <f t="shared" si="23"/>
        <v>0</v>
      </c>
      <c r="V121" s="1">
        <f t="shared" si="29"/>
        <v>0</v>
      </c>
      <c r="W121" s="1">
        <f t="shared" si="24"/>
        <v>0</v>
      </c>
      <c r="X121" s="1">
        <f t="shared" si="25"/>
        <v>0</v>
      </c>
      <c r="Y121" s="1">
        <f t="shared" si="26"/>
        <v>0</v>
      </c>
      <c r="Z121" s="1">
        <f t="shared" si="27"/>
        <v>0</v>
      </c>
      <c r="AA121" s="1">
        <f t="shared" si="30"/>
        <v>0</v>
      </c>
    </row>
    <row r="122" spans="12:27" x14ac:dyDescent="0.3">
      <c r="L122">
        <v>121</v>
      </c>
      <c r="M122" s="1">
        <f t="shared" si="16"/>
        <v>0</v>
      </c>
      <c r="N122" s="1">
        <f t="shared" si="17"/>
        <v>0.55714285714285716</v>
      </c>
      <c r="O122" s="1">
        <f t="shared" si="18"/>
        <v>0</v>
      </c>
      <c r="P122" s="1">
        <f t="shared" si="19"/>
        <v>0</v>
      </c>
      <c r="Q122" s="1">
        <f t="shared" si="28"/>
        <v>0.55714285714285716</v>
      </c>
      <c r="R122" s="1">
        <f t="shared" si="20"/>
        <v>0</v>
      </c>
      <c r="S122" s="1">
        <f t="shared" si="21"/>
        <v>0</v>
      </c>
      <c r="T122" s="1">
        <f t="shared" si="22"/>
        <v>0</v>
      </c>
      <c r="U122" s="1">
        <f t="shared" si="23"/>
        <v>0</v>
      </c>
      <c r="V122" s="1">
        <f t="shared" si="29"/>
        <v>0</v>
      </c>
      <c r="W122" s="1">
        <f t="shared" si="24"/>
        <v>0</v>
      </c>
      <c r="X122" s="1">
        <f t="shared" si="25"/>
        <v>0</v>
      </c>
      <c r="Y122" s="1">
        <f t="shared" si="26"/>
        <v>0</v>
      </c>
      <c r="Z122" s="1">
        <f t="shared" si="27"/>
        <v>0</v>
      </c>
      <c r="AA122" s="1">
        <f t="shared" si="30"/>
        <v>0</v>
      </c>
    </row>
    <row r="123" spans="12:27" x14ac:dyDescent="0.3">
      <c r="L123">
        <v>122</v>
      </c>
      <c r="M123" s="1">
        <f t="shared" si="16"/>
        <v>0</v>
      </c>
      <c r="N123" s="1">
        <f t="shared" si="17"/>
        <v>0.58285714285714274</v>
      </c>
      <c r="O123" s="1">
        <f t="shared" si="18"/>
        <v>0</v>
      </c>
      <c r="P123" s="1">
        <f t="shared" si="19"/>
        <v>0</v>
      </c>
      <c r="Q123" s="1">
        <f t="shared" si="28"/>
        <v>0.58285714285714274</v>
      </c>
      <c r="R123" s="1">
        <f t="shared" si="20"/>
        <v>0</v>
      </c>
      <c r="S123" s="1">
        <f t="shared" si="21"/>
        <v>0</v>
      </c>
      <c r="T123" s="1">
        <f t="shared" si="22"/>
        <v>0</v>
      </c>
      <c r="U123" s="1">
        <f t="shared" si="23"/>
        <v>0</v>
      </c>
      <c r="V123" s="1">
        <f t="shared" si="29"/>
        <v>0</v>
      </c>
      <c r="W123" s="1">
        <f t="shared" si="24"/>
        <v>0</v>
      </c>
      <c r="X123" s="1">
        <f t="shared" si="25"/>
        <v>0</v>
      </c>
      <c r="Y123" s="1">
        <f t="shared" si="26"/>
        <v>0</v>
      </c>
      <c r="Z123" s="1">
        <f t="shared" si="27"/>
        <v>0</v>
      </c>
      <c r="AA123" s="1">
        <f t="shared" si="30"/>
        <v>0</v>
      </c>
    </row>
    <row r="124" spans="12:27" x14ac:dyDescent="0.3">
      <c r="L124">
        <v>123</v>
      </c>
      <c r="M124" s="1">
        <f t="shared" si="16"/>
        <v>0</v>
      </c>
      <c r="N124" s="1">
        <f t="shared" si="17"/>
        <v>0.60857142857142854</v>
      </c>
      <c r="O124" s="1">
        <f t="shared" si="18"/>
        <v>0</v>
      </c>
      <c r="P124" s="1">
        <f t="shared" si="19"/>
        <v>0</v>
      </c>
      <c r="Q124" s="1">
        <f t="shared" si="28"/>
        <v>0.60857142857142854</v>
      </c>
      <c r="R124" s="1">
        <f t="shared" si="20"/>
        <v>0</v>
      </c>
      <c r="S124" s="1">
        <f t="shared" si="21"/>
        <v>0</v>
      </c>
      <c r="T124" s="1">
        <f t="shared" si="22"/>
        <v>0</v>
      </c>
      <c r="U124" s="1">
        <f t="shared" si="23"/>
        <v>0</v>
      </c>
      <c r="V124" s="1">
        <f t="shared" si="29"/>
        <v>0</v>
      </c>
      <c r="W124" s="1">
        <f t="shared" si="24"/>
        <v>0</v>
      </c>
      <c r="X124" s="1">
        <f t="shared" si="25"/>
        <v>0</v>
      </c>
      <c r="Y124" s="1">
        <f t="shared" si="26"/>
        <v>0</v>
      </c>
      <c r="Z124" s="1">
        <f t="shared" si="27"/>
        <v>0</v>
      </c>
      <c r="AA124" s="1">
        <f t="shared" si="30"/>
        <v>0</v>
      </c>
    </row>
    <row r="125" spans="12:27" x14ac:dyDescent="0.3">
      <c r="L125">
        <v>124</v>
      </c>
      <c r="M125" s="1">
        <f t="shared" si="16"/>
        <v>0</v>
      </c>
      <c r="N125" s="1">
        <f t="shared" si="17"/>
        <v>0.63428571428571423</v>
      </c>
      <c r="O125" s="1">
        <f t="shared" si="18"/>
        <v>0</v>
      </c>
      <c r="P125" s="1">
        <f t="shared" si="19"/>
        <v>0</v>
      </c>
      <c r="Q125" s="1">
        <f t="shared" si="28"/>
        <v>0.63428571428571423</v>
      </c>
      <c r="R125" s="1">
        <f t="shared" si="20"/>
        <v>0</v>
      </c>
      <c r="S125" s="1">
        <f t="shared" si="21"/>
        <v>0</v>
      </c>
      <c r="T125" s="1">
        <f t="shared" si="22"/>
        <v>0</v>
      </c>
      <c r="U125" s="1">
        <f t="shared" si="23"/>
        <v>0</v>
      </c>
      <c r="V125" s="1">
        <f t="shared" si="29"/>
        <v>0</v>
      </c>
      <c r="W125" s="1">
        <f t="shared" si="24"/>
        <v>0</v>
      </c>
      <c r="X125" s="1">
        <f t="shared" si="25"/>
        <v>0</v>
      </c>
      <c r="Y125" s="1">
        <f t="shared" si="26"/>
        <v>0</v>
      </c>
      <c r="Z125" s="1">
        <f t="shared" si="27"/>
        <v>0</v>
      </c>
      <c r="AA125" s="1">
        <f t="shared" si="30"/>
        <v>0</v>
      </c>
    </row>
    <row r="126" spans="12:27" x14ac:dyDescent="0.3">
      <c r="L126">
        <v>125</v>
      </c>
      <c r="M126" s="1">
        <f t="shared" si="16"/>
        <v>0</v>
      </c>
      <c r="N126" s="1">
        <f t="shared" si="17"/>
        <v>0.65999999999999992</v>
      </c>
      <c r="O126" s="1">
        <f t="shared" si="18"/>
        <v>0</v>
      </c>
      <c r="P126" s="1">
        <f t="shared" si="19"/>
        <v>0</v>
      </c>
      <c r="Q126" s="1">
        <f t="shared" si="28"/>
        <v>0.65999999999999992</v>
      </c>
      <c r="R126" s="1">
        <f t="shared" si="20"/>
        <v>0</v>
      </c>
      <c r="S126" s="1">
        <f t="shared" si="21"/>
        <v>0</v>
      </c>
      <c r="T126" s="1">
        <f t="shared" si="22"/>
        <v>0</v>
      </c>
      <c r="U126" s="1">
        <f t="shared" si="23"/>
        <v>0</v>
      </c>
      <c r="V126" s="1">
        <f t="shared" si="29"/>
        <v>0</v>
      </c>
      <c r="W126" s="1">
        <f t="shared" si="24"/>
        <v>0</v>
      </c>
      <c r="X126" s="1">
        <f t="shared" si="25"/>
        <v>0</v>
      </c>
      <c r="Y126" s="1">
        <f t="shared" si="26"/>
        <v>0</v>
      </c>
      <c r="Z126" s="1">
        <f t="shared" si="27"/>
        <v>0</v>
      </c>
      <c r="AA126" s="1">
        <f t="shared" si="30"/>
        <v>0</v>
      </c>
    </row>
    <row r="127" spans="12:27" x14ac:dyDescent="0.3">
      <c r="L127">
        <v>126</v>
      </c>
      <c r="M127" s="1">
        <f t="shared" si="16"/>
        <v>0</v>
      </c>
      <c r="N127" s="1">
        <f t="shared" si="17"/>
        <v>0.68571428571428572</v>
      </c>
      <c r="O127" s="1">
        <f t="shared" si="18"/>
        <v>0</v>
      </c>
      <c r="P127" s="1">
        <f t="shared" si="19"/>
        <v>0</v>
      </c>
      <c r="Q127" s="1">
        <f t="shared" si="28"/>
        <v>0.68571428571428572</v>
      </c>
      <c r="R127" s="1">
        <f t="shared" si="20"/>
        <v>0</v>
      </c>
      <c r="S127" s="1">
        <f t="shared" si="21"/>
        <v>0</v>
      </c>
      <c r="T127" s="1">
        <f t="shared" si="22"/>
        <v>0</v>
      </c>
      <c r="U127" s="1">
        <f t="shared" si="23"/>
        <v>0</v>
      </c>
      <c r="V127" s="1">
        <f t="shared" si="29"/>
        <v>0</v>
      </c>
      <c r="W127" s="1">
        <f t="shared" si="24"/>
        <v>0</v>
      </c>
      <c r="X127" s="1">
        <f t="shared" si="25"/>
        <v>0</v>
      </c>
      <c r="Y127" s="1">
        <f t="shared" si="26"/>
        <v>0</v>
      </c>
      <c r="Z127" s="1">
        <f t="shared" si="27"/>
        <v>0</v>
      </c>
      <c r="AA127" s="1">
        <f t="shared" si="30"/>
        <v>0</v>
      </c>
    </row>
    <row r="128" spans="12:27" x14ac:dyDescent="0.3">
      <c r="L128">
        <v>127</v>
      </c>
      <c r="M128" s="1">
        <f t="shared" si="16"/>
        <v>0</v>
      </c>
      <c r="N128" s="1">
        <f t="shared" si="17"/>
        <v>0.7114285714285713</v>
      </c>
      <c r="O128" s="1">
        <f t="shared" si="18"/>
        <v>0</v>
      </c>
      <c r="P128" s="1">
        <f t="shared" si="19"/>
        <v>0</v>
      </c>
      <c r="Q128" s="1">
        <f t="shared" si="28"/>
        <v>0.7114285714285713</v>
      </c>
      <c r="R128" s="1">
        <f t="shared" si="20"/>
        <v>0</v>
      </c>
      <c r="S128" s="1">
        <f t="shared" si="21"/>
        <v>0</v>
      </c>
      <c r="T128" s="1">
        <f t="shared" si="22"/>
        <v>0</v>
      </c>
      <c r="U128" s="1">
        <f t="shared" si="23"/>
        <v>0</v>
      </c>
      <c r="V128" s="1">
        <f t="shared" si="29"/>
        <v>0</v>
      </c>
      <c r="W128" s="1">
        <f t="shared" si="24"/>
        <v>0</v>
      </c>
      <c r="X128" s="1">
        <f t="shared" si="25"/>
        <v>0</v>
      </c>
      <c r="Y128" s="1">
        <f t="shared" si="26"/>
        <v>0</v>
      </c>
      <c r="Z128" s="1">
        <f t="shared" si="27"/>
        <v>0</v>
      </c>
      <c r="AA128" s="1">
        <f t="shared" si="30"/>
        <v>0</v>
      </c>
    </row>
    <row r="129" spans="12:27" x14ac:dyDescent="0.3">
      <c r="L129">
        <v>128</v>
      </c>
      <c r="M129" s="1">
        <f t="shared" si="16"/>
        <v>0</v>
      </c>
      <c r="N129" s="1">
        <f t="shared" si="17"/>
        <v>0.7371428571428571</v>
      </c>
      <c r="O129" s="1">
        <f t="shared" si="18"/>
        <v>0</v>
      </c>
      <c r="P129" s="1">
        <f t="shared" si="19"/>
        <v>0</v>
      </c>
      <c r="Q129" s="1">
        <f t="shared" si="28"/>
        <v>0.7371428571428571</v>
      </c>
      <c r="R129" s="1">
        <f t="shared" si="20"/>
        <v>0</v>
      </c>
      <c r="S129" s="1">
        <f t="shared" si="21"/>
        <v>0</v>
      </c>
      <c r="T129" s="1">
        <f t="shared" si="22"/>
        <v>0</v>
      </c>
      <c r="U129" s="1">
        <f t="shared" si="23"/>
        <v>0</v>
      </c>
      <c r="V129" s="1">
        <f t="shared" si="29"/>
        <v>0</v>
      </c>
      <c r="W129" s="1">
        <f t="shared" si="24"/>
        <v>0</v>
      </c>
      <c r="X129" s="1">
        <f t="shared" si="25"/>
        <v>0</v>
      </c>
      <c r="Y129" s="1">
        <f t="shared" si="26"/>
        <v>0</v>
      </c>
      <c r="Z129" s="1">
        <f t="shared" si="27"/>
        <v>0</v>
      </c>
      <c r="AA129" s="1">
        <f t="shared" si="30"/>
        <v>0</v>
      </c>
    </row>
    <row r="130" spans="12:27" x14ac:dyDescent="0.3">
      <c r="L130">
        <v>129</v>
      </c>
      <c r="M130" s="1">
        <f t="shared" ref="M130:M193" si="31">MAX(IF(OR(kcjd&lt;jdplant1,kcjd&gt;jdplant1+C$21),0,kc.ini.1),M495)</f>
        <v>0</v>
      </c>
      <c r="N130" s="1">
        <f t="shared" ref="N130:N193" si="32">MAX(IF(OR(kcjd&lt;jdplant1+C$21,kcjd&gt;jdplant1+SUM(C$21,D$21)),0,+H$21+(kcjd-(jdplant1+C$21))/(jdplant1+SUM(C$21,D$21)-(jdplant1+C$21))*(I$21-H$21)),N495)</f>
        <v>0.76285714285714268</v>
      </c>
      <c r="O130" s="1">
        <f t="shared" ref="O130:O193" si="33">MAX(IF(OR(kcjd&lt;jdplant1+SUM(C$21,D$21),kcjd&gt;jdplant1+SUM(C$21,D$21,E$21)),0,kc.mid.1),O495)</f>
        <v>0</v>
      </c>
      <c r="P130" s="1">
        <f t="shared" ref="P130:P193" si="34">MAX(IF(OR(kcjd&lt;jdplant1+SUM(C$21:E$21),kcjd&gt;jdplant1+G$21),0,+I$21-(kcjd-(jdplant1+SUM(C$21:E$21)))/((jdplant1+G$21)-(jdplant1+SUM(C$21:E$21)))*(I$21-J$21)),P495)</f>
        <v>0</v>
      </c>
      <c r="Q130" s="1">
        <f t="shared" si="28"/>
        <v>0.76285714285714268</v>
      </c>
      <c r="R130" s="1">
        <f t="shared" ref="R130:R193" si="35">MAX(IF(OR(kcjd&lt;jdplant2,kcjd&gt;jdplant2+$C$22),0,kc.ini.2),R495)</f>
        <v>0</v>
      </c>
      <c r="S130" s="1">
        <f t="shared" ref="S130:S193" si="36">MAX(IF(OR(kcjd&lt;jdplant2+$C$22,kcjd&gt;jdplant2+SUM($C$22,$D$22)),0,+kc.ini.2+(kcjd-(jdplant2+$C$22))/(jdplant2+SUM($C$22,$D$22)-(jdplant2+$C$22))*(kc.mid.2-kc.ini.2)),S495)</f>
        <v>0</v>
      </c>
      <c r="T130" s="1">
        <f t="shared" ref="T130:T193" si="37">MAX(IF(OR(kcjd&lt;jdplant2+SUM($C$22,$D$22),kcjd&gt;jdplant2+SUM($C$22,$D$22,$E$22)),0,kc.mid.2),T495)</f>
        <v>0</v>
      </c>
      <c r="U130" s="1">
        <f t="shared" ref="U130:U193" si="38">MAX(IF(OR(kcjd&lt;jdplant2+SUM($C$22:$E$22),kcjd&gt;jdplant2+$G$22),0,+kc.mid.2-(kcjd-(jdplant2+SUM($C$22:$E$22)))/((jdplant2+$G$22)-(jdplant2+SUM($C$22:$E$22)))*(kc.mid.2-kc.late.2)),U495)</f>
        <v>0</v>
      </c>
      <c r="V130" s="1">
        <f t="shared" si="29"/>
        <v>0</v>
      </c>
      <c r="W130" s="1">
        <f t="shared" ref="W130:W193" si="39">MAX(IF(OR(kcjd&lt;jdplant3,kcjd&gt;jdplant3+$C$23),0,kc.ini.3),W495)</f>
        <v>0</v>
      </c>
      <c r="X130" s="1">
        <f t="shared" ref="X130:X193" si="40">MAX(IF(OR(kcjd&lt;jdplant3+$C$23,kcjd&gt;jdplant3+SUM($C$23,$D$23)),0,+kc.ini.3+(kcjd-(jdplant3+$C$23))/(jdplant3+SUM($C$23,$D$23)-(jdplant3+$C$23))*(kc.mid.3-kc.ini.3)),X495)</f>
        <v>0</v>
      </c>
      <c r="Y130" s="1">
        <f t="shared" ref="Y130:Y193" si="41">MAX(IF(OR(kcjd&lt;jdplant3+SUM($C$23,$D$23),kcjd&gt;jdplant3+SUM($C$23,$D$23,$E$23)),0,kc.mid.3),Y495)</f>
        <v>0</v>
      </c>
      <c r="Z130" s="1">
        <f t="shared" ref="Z130:Z193" si="42">MAX(IF(OR(kcjd&lt;jdplant3+SUM($C$23:$E$23),kcjd&gt;jdplant3+$G$23),0,+kc.mid.3-(kcjd-(jdplant3+SUM($C$23:$E$23)))/((jdplant3+$G$23)-(jdplant3+SUM($C$23:$E$23)))*(kc.mid.3-kc.late.3)),Z495)</f>
        <v>0</v>
      </c>
      <c r="AA130" s="1">
        <f t="shared" si="30"/>
        <v>0</v>
      </c>
    </row>
    <row r="131" spans="12:27" x14ac:dyDescent="0.3">
      <c r="L131">
        <v>130</v>
      </c>
      <c r="M131" s="1">
        <f t="shared" si="31"/>
        <v>0</v>
      </c>
      <c r="N131" s="1">
        <f t="shared" si="32"/>
        <v>0.78857142857142848</v>
      </c>
      <c r="O131" s="1">
        <f t="shared" si="33"/>
        <v>0</v>
      </c>
      <c r="P131" s="1">
        <f t="shared" si="34"/>
        <v>0</v>
      </c>
      <c r="Q131" s="1">
        <f t="shared" ref="Q131:Q194" si="43">MAX(M131:P131)</f>
        <v>0.78857142857142848</v>
      </c>
      <c r="R131" s="1">
        <f t="shared" si="35"/>
        <v>0</v>
      </c>
      <c r="S131" s="1">
        <f t="shared" si="36"/>
        <v>0</v>
      </c>
      <c r="T131" s="1">
        <f t="shared" si="37"/>
        <v>0</v>
      </c>
      <c r="U131" s="1">
        <f t="shared" si="38"/>
        <v>0</v>
      </c>
      <c r="V131" s="1">
        <f t="shared" ref="V131:V194" si="44">MAX(R131:U131)</f>
        <v>0</v>
      </c>
      <c r="W131" s="1">
        <f t="shared" si="39"/>
        <v>0</v>
      </c>
      <c r="X131" s="1">
        <f t="shared" si="40"/>
        <v>0</v>
      </c>
      <c r="Y131" s="1">
        <f t="shared" si="41"/>
        <v>0</v>
      </c>
      <c r="Z131" s="1">
        <f t="shared" si="42"/>
        <v>0</v>
      </c>
      <c r="AA131" s="1">
        <f t="shared" ref="AA131:AA194" si="45">MAX(W131:Z131)</f>
        <v>0</v>
      </c>
    </row>
    <row r="132" spans="12:27" x14ac:dyDescent="0.3">
      <c r="L132">
        <v>131</v>
      </c>
      <c r="M132" s="1">
        <f t="shared" si="31"/>
        <v>0</v>
      </c>
      <c r="N132" s="1">
        <f t="shared" si="32"/>
        <v>0.81428571428571428</v>
      </c>
      <c r="O132" s="1">
        <f t="shared" si="33"/>
        <v>0</v>
      </c>
      <c r="P132" s="1">
        <f t="shared" si="34"/>
        <v>0</v>
      </c>
      <c r="Q132" s="1">
        <f t="shared" si="43"/>
        <v>0.81428571428571428</v>
      </c>
      <c r="R132" s="1">
        <f t="shared" si="35"/>
        <v>0</v>
      </c>
      <c r="S132" s="1">
        <f t="shared" si="36"/>
        <v>0</v>
      </c>
      <c r="T132" s="1">
        <f t="shared" si="37"/>
        <v>0</v>
      </c>
      <c r="U132" s="1">
        <f t="shared" si="38"/>
        <v>0</v>
      </c>
      <c r="V132" s="1">
        <f t="shared" si="44"/>
        <v>0</v>
      </c>
      <c r="W132" s="1">
        <f t="shared" si="39"/>
        <v>0</v>
      </c>
      <c r="X132" s="1">
        <f t="shared" si="40"/>
        <v>0</v>
      </c>
      <c r="Y132" s="1">
        <f t="shared" si="41"/>
        <v>0</v>
      </c>
      <c r="Z132" s="1">
        <f t="shared" si="42"/>
        <v>0</v>
      </c>
      <c r="AA132" s="1">
        <f t="shared" si="45"/>
        <v>0</v>
      </c>
    </row>
    <row r="133" spans="12:27" x14ac:dyDescent="0.3">
      <c r="L133">
        <v>132</v>
      </c>
      <c r="M133" s="1">
        <f t="shared" si="31"/>
        <v>0</v>
      </c>
      <c r="N133" s="1">
        <f t="shared" si="32"/>
        <v>0.83999999999999986</v>
      </c>
      <c r="O133" s="1">
        <f t="shared" si="33"/>
        <v>0</v>
      </c>
      <c r="P133" s="1">
        <f t="shared" si="34"/>
        <v>0</v>
      </c>
      <c r="Q133" s="1">
        <f t="shared" si="43"/>
        <v>0.83999999999999986</v>
      </c>
      <c r="R133" s="1">
        <f t="shared" si="35"/>
        <v>0</v>
      </c>
      <c r="S133" s="1">
        <f t="shared" si="36"/>
        <v>0</v>
      </c>
      <c r="T133" s="1">
        <f t="shared" si="37"/>
        <v>0</v>
      </c>
      <c r="U133" s="1">
        <f t="shared" si="38"/>
        <v>0</v>
      </c>
      <c r="V133" s="1">
        <f t="shared" si="44"/>
        <v>0</v>
      </c>
      <c r="W133" s="1">
        <f t="shared" si="39"/>
        <v>0</v>
      </c>
      <c r="X133" s="1">
        <f t="shared" si="40"/>
        <v>0</v>
      </c>
      <c r="Y133" s="1">
        <f t="shared" si="41"/>
        <v>0</v>
      </c>
      <c r="Z133" s="1">
        <f t="shared" si="42"/>
        <v>0</v>
      </c>
      <c r="AA133" s="1">
        <f t="shared" si="45"/>
        <v>0</v>
      </c>
    </row>
    <row r="134" spans="12:27" x14ac:dyDescent="0.3">
      <c r="L134">
        <v>133</v>
      </c>
      <c r="M134" s="1">
        <f t="shared" si="31"/>
        <v>0</v>
      </c>
      <c r="N134" s="1">
        <f t="shared" si="32"/>
        <v>0.86571428571428566</v>
      </c>
      <c r="O134" s="1">
        <f t="shared" si="33"/>
        <v>0</v>
      </c>
      <c r="P134" s="1">
        <f t="shared" si="34"/>
        <v>0</v>
      </c>
      <c r="Q134" s="1">
        <f t="shared" si="43"/>
        <v>0.86571428571428566</v>
      </c>
      <c r="R134" s="1">
        <f t="shared" si="35"/>
        <v>0</v>
      </c>
      <c r="S134" s="1">
        <f t="shared" si="36"/>
        <v>0</v>
      </c>
      <c r="T134" s="1">
        <f t="shared" si="37"/>
        <v>0</v>
      </c>
      <c r="U134" s="1">
        <f t="shared" si="38"/>
        <v>0</v>
      </c>
      <c r="V134" s="1">
        <f t="shared" si="44"/>
        <v>0</v>
      </c>
      <c r="W134" s="1">
        <f t="shared" si="39"/>
        <v>0</v>
      </c>
      <c r="X134" s="1">
        <f t="shared" si="40"/>
        <v>0</v>
      </c>
      <c r="Y134" s="1">
        <f t="shared" si="41"/>
        <v>0</v>
      </c>
      <c r="Z134" s="1">
        <f t="shared" si="42"/>
        <v>0</v>
      </c>
      <c r="AA134" s="1">
        <f t="shared" si="45"/>
        <v>0</v>
      </c>
    </row>
    <row r="135" spans="12:27" x14ac:dyDescent="0.3">
      <c r="L135">
        <v>134</v>
      </c>
      <c r="M135" s="1">
        <f t="shared" si="31"/>
        <v>0</v>
      </c>
      <c r="N135" s="1">
        <f t="shared" si="32"/>
        <v>0.89142857142857146</v>
      </c>
      <c r="O135" s="1">
        <f t="shared" si="33"/>
        <v>0</v>
      </c>
      <c r="P135" s="1">
        <f t="shared" si="34"/>
        <v>0</v>
      </c>
      <c r="Q135" s="1">
        <f t="shared" si="43"/>
        <v>0.89142857142857146</v>
      </c>
      <c r="R135" s="1">
        <f t="shared" si="35"/>
        <v>0</v>
      </c>
      <c r="S135" s="1">
        <f t="shared" si="36"/>
        <v>0</v>
      </c>
      <c r="T135" s="1">
        <f t="shared" si="37"/>
        <v>0</v>
      </c>
      <c r="U135" s="1">
        <f t="shared" si="38"/>
        <v>0</v>
      </c>
      <c r="V135" s="1">
        <f t="shared" si="44"/>
        <v>0</v>
      </c>
      <c r="W135" s="1">
        <f t="shared" si="39"/>
        <v>0</v>
      </c>
      <c r="X135" s="1">
        <f t="shared" si="40"/>
        <v>0</v>
      </c>
      <c r="Y135" s="1">
        <f t="shared" si="41"/>
        <v>0</v>
      </c>
      <c r="Z135" s="1">
        <f t="shared" si="42"/>
        <v>0</v>
      </c>
      <c r="AA135" s="1">
        <f t="shared" si="45"/>
        <v>0</v>
      </c>
    </row>
    <row r="136" spans="12:27" x14ac:dyDescent="0.3">
      <c r="L136">
        <v>135</v>
      </c>
      <c r="M136" s="1">
        <f t="shared" si="31"/>
        <v>0</v>
      </c>
      <c r="N136" s="1">
        <f t="shared" si="32"/>
        <v>0.91714285714285704</v>
      </c>
      <c r="O136" s="1">
        <f t="shared" si="33"/>
        <v>0</v>
      </c>
      <c r="P136" s="1">
        <f t="shared" si="34"/>
        <v>0</v>
      </c>
      <c r="Q136" s="1">
        <f t="shared" si="43"/>
        <v>0.91714285714285704</v>
      </c>
      <c r="R136" s="1">
        <f t="shared" si="35"/>
        <v>0</v>
      </c>
      <c r="S136" s="1">
        <f t="shared" si="36"/>
        <v>0</v>
      </c>
      <c r="T136" s="1">
        <f t="shared" si="37"/>
        <v>0</v>
      </c>
      <c r="U136" s="1">
        <f t="shared" si="38"/>
        <v>0</v>
      </c>
      <c r="V136" s="1">
        <f t="shared" si="44"/>
        <v>0</v>
      </c>
      <c r="W136" s="1">
        <f t="shared" si="39"/>
        <v>0</v>
      </c>
      <c r="X136" s="1">
        <f t="shared" si="40"/>
        <v>0</v>
      </c>
      <c r="Y136" s="1">
        <f t="shared" si="41"/>
        <v>0</v>
      </c>
      <c r="Z136" s="1">
        <f t="shared" si="42"/>
        <v>0</v>
      </c>
      <c r="AA136" s="1">
        <f t="shared" si="45"/>
        <v>0</v>
      </c>
    </row>
    <row r="137" spans="12:27" x14ac:dyDescent="0.3">
      <c r="L137">
        <v>136</v>
      </c>
      <c r="M137" s="1">
        <f t="shared" si="31"/>
        <v>0</v>
      </c>
      <c r="N137" s="1">
        <f t="shared" si="32"/>
        <v>0.94285714285714284</v>
      </c>
      <c r="O137" s="1">
        <f t="shared" si="33"/>
        <v>0</v>
      </c>
      <c r="P137" s="1">
        <f t="shared" si="34"/>
        <v>0</v>
      </c>
      <c r="Q137" s="1">
        <f t="shared" si="43"/>
        <v>0.94285714285714284</v>
      </c>
      <c r="R137" s="1">
        <f t="shared" si="35"/>
        <v>0</v>
      </c>
      <c r="S137" s="1">
        <f t="shared" si="36"/>
        <v>0</v>
      </c>
      <c r="T137" s="1">
        <f t="shared" si="37"/>
        <v>0</v>
      </c>
      <c r="U137" s="1">
        <f t="shared" si="38"/>
        <v>0</v>
      </c>
      <c r="V137" s="1">
        <f t="shared" si="44"/>
        <v>0</v>
      </c>
      <c r="W137" s="1">
        <f t="shared" si="39"/>
        <v>0</v>
      </c>
      <c r="X137" s="1">
        <f t="shared" si="40"/>
        <v>0</v>
      </c>
      <c r="Y137" s="1">
        <f t="shared" si="41"/>
        <v>0</v>
      </c>
      <c r="Z137" s="1">
        <f t="shared" si="42"/>
        <v>0</v>
      </c>
      <c r="AA137" s="1">
        <f t="shared" si="45"/>
        <v>0</v>
      </c>
    </row>
    <row r="138" spans="12:27" x14ac:dyDescent="0.3">
      <c r="L138">
        <v>137</v>
      </c>
      <c r="M138" s="1">
        <f t="shared" si="31"/>
        <v>0</v>
      </c>
      <c r="N138" s="1">
        <f t="shared" si="32"/>
        <v>0.96857142857142842</v>
      </c>
      <c r="O138" s="1">
        <f t="shared" si="33"/>
        <v>0</v>
      </c>
      <c r="P138" s="1">
        <f t="shared" si="34"/>
        <v>0</v>
      </c>
      <c r="Q138" s="1">
        <f t="shared" si="43"/>
        <v>0.96857142857142842</v>
      </c>
      <c r="R138" s="1">
        <f t="shared" si="35"/>
        <v>0</v>
      </c>
      <c r="S138" s="1">
        <f t="shared" si="36"/>
        <v>0</v>
      </c>
      <c r="T138" s="1">
        <f t="shared" si="37"/>
        <v>0</v>
      </c>
      <c r="U138" s="1">
        <f t="shared" si="38"/>
        <v>0</v>
      </c>
      <c r="V138" s="1">
        <f t="shared" si="44"/>
        <v>0</v>
      </c>
      <c r="W138" s="1">
        <f t="shared" si="39"/>
        <v>0</v>
      </c>
      <c r="X138" s="1">
        <f t="shared" si="40"/>
        <v>0</v>
      </c>
      <c r="Y138" s="1">
        <f t="shared" si="41"/>
        <v>0</v>
      </c>
      <c r="Z138" s="1">
        <f t="shared" si="42"/>
        <v>0</v>
      </c>
      <c r="AA138" s="1">
        <f t="shared" si="45"/>
        <v>0</v>
      </c>
    </row>
    <row r="139" spans="12:27" x14ac:dyDescent="0.3">
      <c r="L139">
        <v>138</v>
      </c>
      <c r="M139" s="1">
        <f t="shared" si="31"/>
        <v>0</v>
      </c>
      <c r="N139" s="1">
        <f t="shared" si="32"/>
        <v>0.99428571428571422</v>
      </c>
      <c r="O139" s="1">
        <f t="shared" si="33"/>
        <v>0</v>
      </c>
      <c r="P139" s="1">
        <f t="shared" si="34"/>
        <v>0</v>
      </c>
      <c r="Q139" s="1">
        <f t="shared" si="43"/>
        <v>0.99428571428571422</v>
      </c>
      <c r="R139" s="1">
        <f t="shared" si="35"/>
        <v>0</v>
      </c>
      <c r="S139" s="1">
        <f t="shared" si="36"/>
        <v>0</v>
      </c>
      <c r="T139" s="1">
        <f t="shared" si="37"/>
        <v>0</v>
      </c>
      <c r="U139" s="1">
        <f t="shared" si="38"/>
        <v>0</v>
      </c>
      <c r="V139" s="1">
        <f t="shared" si="44"/>
        <v>0</v>
      </c>
      <c r="W139" s="1">
        <f t="shared" si="39"/>
        <v>0</v>
      </c>
      <c r="X139" s="1">
        <f t="shared" si="40"/>
        <v>0</v>
      </c>
      <c r="Y139" s="1">
        <f t="shared" si="41"/>
        <v>0</v>
      </c>
      <c r="Z139" s="1">
        <f t="shared" si="42"/>
        <v>0</v>
      </c>
      <c r="AA139" s="1">
        <f t="shared" si="45"/>
        <v>0</v>
      </c>
    </row>
    <row r="140" spans="12:27" x14ac:dyDescent="0.3">
      <c r="L140">
        <v>139</v>
      </c>
      <c r="M140" s="1">
        <f t="shared" si="31"/>
        <v>0</v>
      </c>
      <c r="N140" s="1">
        <f t="shared" si="32"/>
        <v>1.02</v>
      </c>
      <c r="O140" s="1">
        <f t="shared" si="33"/>
        <v>0</v>
      </c>
      <c r="P140" s="1">
        <f t="shared" si="34"/>
        <v>0</v>
      </c>
      <c r="Q140" s="1">
        <f t="shared" si="43"/>
        <v>1.02</v>
      </c>
      <c r="R140" s="1">
        <f t="shared" si="35"/>
        <v>0</v>
      </c>
      <c r="S140" s="1">
        <f t="shared" si="36"/>
        <v>0</v>
      </c>
      <c r="T140" s="1">
        <f t="shared" si="37"/>
        <v>0</v>
      </c>
      <c r="U140" s="1">
        <f t="shared" si="38"/>
        <v>0</v>
      </c>
      <c r="V140" s="1">
        <f t="shared" si="44"/>
        <v>0</v>
      </c>
      <c r="W140" s="1">
        <f t="shared" si="39"/>
        <v>0</v>
      </c>
      <c r="X140" s="1">
        <f t="shared" si="40"/>
        <v>0</v>
      </c>
      <c r="Y140" s="1">
        <f t="shared" si="41"/>
        <v>0</v>
      </c>
      <c r="Z140" s="1">
        <f t="shared" si="42"/>
        <v>0</v>
      </c>
      <c r="AA140" s="1">
        <f t="shared" si="45"/>
        <v>0</v>
      </c>
    </row>
    <row r="141" spans="12:27" x14ac:dyDescent="0.3">
      <c r="L141">
        <v>140</v>
      </c>
      <c r="M141" s="1">
        <f t="shared" si="31"/>
        <v>0</v>
      </c>
      <c r="N141" s="1">
        <f t="shared" si="32"/>
        <v>1.0457142857142856</v>
      </c>
      <c r="O141" s="1">
        <f t="shared" si="33"/>
        <v>0</v>
      </c>
      <c r="P141" s="1">
        <f t="shared" si="34"/>
        <v>0</v>
      </c>
      <c r="Q141" s="1">
        <f t="shared" si="43"/>
        <v>1.0457142857142856</v>
      </c>
      <c r="R141" s="1">
        <f t="shared" si="35"/>
        <v>0</v>
      </c>
      <c r="S141" s="1">
        <f t="shared" si="36"/>
        <v>0</v>
      </c>
      <c r="T141" s="1">
        <f t="shared" si="37"/>
        <v>0</v>
      </c>
      <c r="U141" s="1">
        <f t="shared" si="38"/>
        <v>0</v>
      </c>
      <c r="V141" s="1">
        <f t="shared" si="44"/>
        <v>0</v>
      </c>
      <c r="W141" s="1">
        <f t="shared" si="39"/>
        <v>0</v>
      </c>
      <c r="X141" s="1">
        <f t="shared" si="40"/>
        <v>0</v>
      </c>
      <c r="Y141" s="1">
        <f t="shared" si="41"/>
        <v>0</v>
      </c>
      <c r="Z141" s="1">
        <f t="shared" si="42"/>
        <v>0</v>
      </c>
      <c r="AA141" s="1">
        <f t="shared" si="45"/>
        <v>0</v>
      </c>
    </row>
    <row r="142" spans="12:27" x14ac:dyDescent="0.3">
      <c r="L142">
        <v>141</v>
      </c>
      <c r="M142" s="1">
        <f t="shared" si="31"/>
        <v>0</v>
      </c>
      <c r="N142" s="1">
        <f t="shared" si="32"/>
        <v>1.0714285714285714</v>
      </c>
      <c r="O142" s="1">
        <f t="shared" si="33"/>
        <v>0</v>
      </c>
      <c r="P142" s="1">
        <f t="shared" si="34"/>
        <v>0</v>
      </c>
      <c r="Q142" s="1">
        <f t="shared" si="43"/>
        <v>1.0714285714285714</v>
      </c>
      <c r="R142" s="1">
        <f t="shared" si="35"/>
        <v>0</v>
      </c>
      <c r="S142" s="1">
        <f t="shared" si="36"/>
        <v>0</v>
      </c>
      <c r="T142" s="1">
        <f t="shared" si="37"/>
        <v>0</v>
      </c>
      <c r="U142" s="1">
        <f t="shared" si="38"/>
        <v>0</v>
      </c>
      <c r="V142" s="1">
        <f t="shared" si="44"/>
        <v>0</v>
      </c>
      <c r="W142" s="1">
        <f t="shared" si="39"/>
        <v>0</v>
      </c>
      <c r="X142" s="1">
        <f t="shared" si="40"/>
        <v>0</v>
      </c>
      <c r="Y142" s="1">
        <f t="shared" si="41"/>
        <v>0</v>
      </c>
      <c r="Z142" s="1">
        <f t="shared" si="42"/>
        <v>0</v>
      </c>
      <c r="AA142" s="1">
        <f t="shared" si="45"/>
        <v>0</v>
      </c>
    </row>
    <row r="143" spans="12:27" x14ac:dyDescent="0.3">
      <c r="L143">
        <v>142</v>
      </c>
      <c r="M143" s="1">
        <f t="shared" si="31"/>
        <v>0</v>
      </c>
      <c r="N143" s="1">
        <f t="shared" si="32"/>
        <v>1.097142857142857</v>
      </c>
      <c r="O143" s="1">
        <f t="shared" si="33"/>
        <v>0</v>
      </c>
      <c r="P143" s="1">
        <f t="shared" si="34"/>
        <v>0</v>
      </c>
      <c r="Q143" s="1">
        <f t="shared" si="43"/>
        <v>1.097142857142857</v>
      </c>
      <c r="R143" s="1">
        <f t="shared" si="35"/>
        <v>0</v>
      </c>
      <c r="S143" s="1">
        <f t="shared" si="36"/>
        <v>0</v>
      </c>
      <c r="T143" s="1">
        <f t="shared" si="37"/>
        <v>0</v>
      </c>
      <c r="U143" s="1">
        <f t="shared" si="38"/>
        <v>0</v>
      </c>
      <c r="V143" s="1">
        <f t="shared" si="44"/>
        <v>0</v>
      </c>
      <c r="W143" s="1">
        <f t="shared" si="39"/>
        <v>0</v>
      </c>
      <c r="X143" s="1">
        <f t="shared" si="40"/>
        <v>0</v>
      </c>
      <c r="Y143" s="1">
        <f t="shared" si="41"/>
        <v>0</v>
      </c>
      <c r="Z143" s="1">
        <f t="shared" si="42"/>
        <v>0</v>
      </c>
      <c r="AA143" s="1">
        <f t="shared" si="45"/>
        <v>0</v>
      </c>
    </row>
    <row r="144" spans="12:27" x14ac:dyDescent="0.3">
      <c r="L144">
        <v>143</v>
      </c>
      <c r="M144" s="1">
        <f t="shared" si="31"/>
        <v>0</v>
      </c>
      <c r="N144" s="1">
        <f t="shared" si="32"/>
        <v>1.1228571428571428</v>
      </c>
      <c r="O144" s="1">
        <f t="shared" si="33"/>
        <v>0</v>
      </c>
      <c r="P144" s="1">
        <f t="shared" si="34"/>
        <v>0</v>
      </c>
      <c r="Q144" s="1">
        <f t="shared" si="43"/>
        <v>1.1228571428571428</v>
      </c>
      <c r="R144" s="1">
        <f t="shared" si="35"/>
        <v>0</v>
      </c>
      <c r="S144" s="1">
        <f t="shared" si="36"/>
        <v>0</v>
      </c>
      <c r="T144" s="1">
        <f t="shared" si="37"/>
        <v>0</v>
      </c>
      <c r="U144" s="1">
        <f t="shared" si="38"/>
        <v>0</v>
      </c>
      <c r="V144" s="1">
        <f t="shared" si="44"/>
        <v>0</v>
      </c>
      <c r="W144" s="1">
        <f t="shared" si="39"/>
        <v>0</v>
      </c>
      <c r="X144" s="1">
        <f t="shared" si="40"/>
        <v>0</v>
      </c>
      <c r="Y144" s="1">
        <f t="shared" si="41"/>
        <v>0</v>
      </c>
      <c r="Z144" s="1">
        <f t="shared" si="42"/>
        <v>0</v>
      </c>
      <c r="AA144" s="1">
        <f t="shared" si="45"/>
        <v>0</v>
      </c>
    </row>
    <row r="145" spans="12:27" x14ac:dyDescent="0.3">
      <c r="L145">
        <v>144</v>
      </c>
      <c r="M145" s="1">
        <f t="shared" si="31"/>
        <v>0</v>
      </c>
      <c r="N145" s="1">
        <f t="shared" si="32"/>
        <v>1.1485714285714284</v>
      </c>
      <c r="O145" s="1">
        <f t="shared" si="33"/>
        <v>0</v>
      </c>
      <c r="P145" s="1">
        <f t="shared" si="34"/>
        <v>0</v>
      </c>
      <c r="Q145" s="1">
        <f t="shared" si="43"/>
        <v>1.1485714285714284</v>
      </c>
      <c r="R145" s="1">
        <f t="shared" si="35"/>
        <v>0</v>
      </c>
      <c r="S145" s="1">
        <f t="shared" si="36"/>
        <v>0</v>
      </c>
      <c r="T145" s="1">
        <f t="shared" si="37"/>
        <v>0</v>
      </c>
      <c r="U145" s="1">
        <f t="shared" si="38"/>
        <v>0</v>
      </c>
      <c r="V145" s="1">
        <f t="shared" si="44"/>
        <v>0</v>
      </c>
      <c r="W145" s="1">
        <f t="shared" si="39"/>
        <v>0</v>
      </c>
      <c r="X145" s="1">
        <f t="shared" si="40"/>
        <v>0</v>
      </c>
      <c r="Y145" s="1">
        <f t="shared" si="41"/>
        <v>0</v>
      </c>
      <c r="Z145" s="1">
        <f t="shared" si="42"/>
        <v>0</v>
      </c>
      <c r="AA145" s="1">
        <f t="shared" si="45"/>
        <v>0</v>
      </c>
    </row>
    <row r="146" spans="12:27" x14ac:dyDescent="0.3">
      <c r="L146">
        <v>145</v>
      </c>
      <c r="M146" s="1">
        <f t="shared" si="31"/>
        <v>0</v>
      </c>
      <c r="N146" s="1">
        <f t="shared" si="32"/>
        <v>1.1742857142857142</v>
      </c>
      <c r="O146" s="1">
        <f t="shared" si="33"/>
        <v>0</v>
      </c>
      <c r="P146" s="1">
        <f t="shared" si="34"/>
        <v>0</v>
      </c>
      <c r="Q146" s="1">
        <f t="shared" si="43"/>
        <v>1.1742857142857142</v>
      </c>
      <c r="R146" s="1">
        <f t="shared" si="35"/>
        <v>0</v>
      </c>
      <c r="S146" s="1">
        <f t="shared" si="36"/>
        <v>0</v>
      </c>
      <c r="T146" s="1">
        <f t="shared" si="37"/>
        <v>0</v>
      </c>
      <c r="U146" s="1">
        <f t="shared" si="38"/>
        <v>0</v>
      </c>
      <c r="V146" s="1">
        <f t="shared" si="44"/>
        <v>0</v>
      </c>
      <c r="W146" s="1">
        <f t="shared" si="39"/>
        <v>0</v>
      </c>
      <c r="X146" s="1">
        <f t="shared" si="40"/>
        <v>0</v>
      </c>
      <c r="Y146" s="1">
        <f t="shared" si="41"/>
        <v>0</v>
      </c>
      <c r="Z146" s="1">
        <f t="shared" si="42"/>
        <v>0</v>
      </c>
      <c r="AA146" s="1">
        <f t="shared" si="45"/>
        <v>0</v>
      </c>
    </row>
    <row r="147" spans="12:27" x14ac:dyDescent="0.3">
      <c r="L147">
        <v>146</v>
      </c>
      <c r="M147" s="1">
        <f t="shared" si="31"/>
        <v>0</v>
      </c>
      <c r="N147" s="1">
        <f t="shared" si="32"/>
        <v>1.2</v>
      </c>
      <c r="O147" s="1">
        <f t="shared" si="33"/>
        <v>1.2</v>
      </c>
      <c r="P147" s="1">
        <f t="shared" si="34"/>
        <v>0</v>
      </c>
      <c r="Q147" s="1">
        <f t="shared" si="43"/>
        <v>1.2</v>
      </c>
      <c r="R147" s="1">
        <f t="shared" si="35"/>
        <v>0</v>
      </c>
      <c r="S147" s="1">
        <f t="shared" si="36"/>
        <v>0</v>
      </c>
      <c r="T147" s="1">
        <f t="shared" si="37"/>
        <v>0</v>
      </c>
      <c r="U147" s="1">
        <f t="shared" si="38"/>
        <v>0</v>
      </c>
      <c r="V147" s="1">
        <f t="shared" si="44"/>
        <v>0</v>
      </c>
      <c r="W147" s="1">
        <f t="shared" si="39"/>
        <v>0</v>
      </c>
      <c r="X147" s="1">
        <f t="shared" si="40"/>
        <v>0</v>
      </c>
      <c r="Y147" s="1">
        <f t="shared" si="41"/>
        <v>0</v>
      </c>
      <c r="Z147" s="1">
        <f t="shared" si="42"/>
        <v>0</v>
      </c>
      <c r="AA147" s="1">
        <f t="shared" si="45"/>
        <v>0</v>
      </c>
    </row>
    <row r="148" spans="12:27" x14ac:dyDescent="0.3">
      <c r="L148">
        <v>147</v>
      </c>
      <c r="M148" s="1">
        <f t="shared" si="31"/>
        <v>0</v>
      </c>
      <c r="N148" s="1">
        <f t="shared" si="32"/>
        <v>0</v>
      </c>
      <c r="O148" s="1">
        <f t="shared" si="33"/>
        <v>1.2</v>
      </c>
      <c r="P148" s="1">
        <f t="shared" si="34"/>
        <v>0</v>
      </c>
      <c r="Q148" s="1">
        <f t="shared" si="43"/>
        <v>1.2</v>
      </c>
      <c r="R148" s="1">
        <f t="shared" si="35"/>
        <v>0</v>
      </c>
      <c r="S148" s="1">
        <f t="shared" si="36"/>
        <v>0</v>
      </c>
      <c r="T148" s="1">
        <f t="shared" si="37"/>
        <v>0</v>
      </c>
      <c r="U148" s="1">
        <f t="shared" si="38"/>
        <v>0</v>
      </c>
      <c r="V148" s="1">
        <f t="shared" si="44"/>
        <v>0</v>
      </c>
      <c r="W148" s="1">
        <f t="shared" si="39"/>
        <v>0</v>
      </c>
      <c r="X148" s="1">
        <f t="shared" si="40"/>
        <v>0</v>
      </c>
      <c r="Y148" s="1">
        <f t="shared" si="41"/>
        <v>0</v>
      </c>
      <c r="Z148" s="1">
        <f t="shared" si="42"/>
        <v>0</v>
      </c>
      <c r="AA148" s="1">
        <f t="shared" si="45"/>
        <v>0</v>
      </c>
    </row>
    <row r="149" spans="12:27" x14ac:dyDescent="0.3">
      <c r="L149">
        <v>148</v>
      </c>
      <c r="M149" s="1">
        <f t="shared" si="31"/>
        <v>0</v>
      </c>
      <c r="N149" s="1">
        <f t="shared" si="32"/>
        <v>0</v>
      </c>
      <c r="O149" s="1">
        <f t="shared" si="33"/>
        <v>1.2</v>
      </c>
      <c r="P149" s="1">
        <f t="shared" si="34"/>
        <v>0</v>
      </c>
      <c r="Q149" s="1">
        <f t="shared" si="43"/>
        <v>1.2</v>
      </c>
      <c r="R149" s="1">
        <f t="shared" si="35"/>
        <v>0</v>
      </c>
      <c r="S149" s="1">
        <f t="shared" si="36"/>
        <v>0</v>
      </c>
      <c r="T149" s="1">
        <f t="shared" si="37"/>
        <v>0</v>
      </c>
      <c r="U149" s="1">
        <f t="shared" si="38"/>
        <v>0</v>
      </c>
      <c r="V149" s="1">
        <f t="shared" si="44"/>
        <v>0</v>
      </c>
      <c r="W149" s="1">
        <f t="shared" si="39"/>
        <v>0</v>
      </c>
      <c r="X149" s="1">
        <f t="shared" si="40"/>
        <v>0</v>
      </c>
      <c r="Y149" s="1">
        <f t="shared" si="41"/>
        <v>0</v>
      </c>
      <c r="Z149" s="1">
        <f t="shared" si="42"/>
        <v>0</v>
      </c>
      <c r="AA149" s="1">
        <f t="shared" si="45"/>
        <v>0</v>
      </c>
    </row>
    <row r="150" spans="12:27" x14ac:dyDescent="0.3">
      <c r="L150">
        <v>149</v>
      </c>
      <c r="M150" s="1">
        <f t="shared" si="31"/>
        <v>0</v>
      </c>
      <c r="N150" s="1">
        <f t="shared" si="32"/>
        <v>0</v>
      </c>
      <c r="O150" s="1">
        <f t="shared" si="33"/>
        <v>1.2</v>
      </c>
      <c r="P150" s="1">
        <f t="shared" si="34"/>
        <v>0</v>
      </c>
      <c r="Q150" s="1">
        <f t="shared" si="43"/>
        <v>1.2</v>
      </c>
      <c r="R150" s="1">
        <f t="shared" si="35"/>
        <v>0</v>
      </c>
      <c r="S150" s="1">
        <f t="shared" si="36"/>
        <v>0</v>
      </c>
      <c r="T150" s="1">
        <f t="shared" si="37"/>
        <v>0</v>
      </c>
      <c r="U150" s="1">
        <f t="shared" si="38"/>
        <v>0</v>
      </c>
      <c r="V150" s="1">
        <f t="shared" si="44"/>
        <v>0</v>
      </c>
      <c r="W150" s="1">
        <f t="shared" si="39"/>
        <v>0</v>
      </c>
      <c r="X150" s="1">
        <f t="shared" si="40"/>
        <v>0</v>
      </c>
      <c r="Y150" s="1">
        <f t="shared" si="41"/>
        <v>0</v>
      </c>
      <c r="Z150" s="1">
        <f t="shared" si="42"/>
        <v>0</v>
      </c>
      <c r="AA150" s="1">
        <f t="shared" si="45"/>
        <v>0</v>
      </c>
    </row>
    <row r="151" spans="12:27" x14ac:dyDescent="0.3">
      <c r="L151">
        <v>150</v>
      </c>
      <c r="M151" s="1">
        <f t="shared" si="31"/>
        <v>0</v>
      </c>
      <c r="N151" s="1">
        <f t="shared" si="32"/>
        <v>0</v>
      </c>
      <c r="O151" s="1">
        <f t="shared" si="33"/>
        <v>1.2</v>
      </c>
      <c r="P151" s="1">
        <f t="shared" si="34"/>
        <v>0</v>
      </c>
      <c r="Q151" s="1">
        <f t="shared" si="43"/>
        <v>1.2</v>
      </c>
      <c r="R151" s="1">
        <f t="shared" si="35"/>
        <v>0</v>
      </c>
      <c r="S151" s="1">
        <f t="shared" si="36"/>
        <v>0</v>
      </c>
      <c r="T151" s="1">
        <f t="shared" si="37"/>
        <v>0</v>
      </c>
      <c r="U151" s="1">
        <f t="shared" si="38"/>
        <v>0</v>
      </c>
      <c r="V151" s="1">
        <f t="shared" si="44"/>
        <v>0</v>
      </c>
      <c r="W151" s="1">
        <f t="shared" si="39"/>
        <v>0</v>
      </c>
      <c r="X151" s="1">
        <f t="shared" si="40"/>
        <v>0</v>
      </c>
      <c r="Y151" s="1">
        <f t="shared" si="41"/>
        <v>0</v>
      </c>
      <c r="Z151" s="1">
        <f t="shared" si="42"/>
        <v>0</v>
      </c>
      <c r="AA151" s="1">
        <f t="shared" si="45"/>
        <v>0</v>
      </c>
    </row>
    <row r="152" spans="12:27" x14ac:dyDescent="0.3">
      <c r="L152">
        <v>151</v>
      </c>
      <c r="M152" s="1">
        <f t="shared" si="31"/>
        <v>0</v>
      </c>
      <c r="N152" s="1">
        <f t="shared" si="32"/>
        <v>0</v>
      </c>
      <c r="O152" s="1">
        <f t="shared" si="33"/>
        <v>1.2</v>
      </c>
      <c r="P152" s="1">
        <f t="shared" si="34"/>
        <v>0</v>
      </c>
      <c r="Q152" s="1">
        <f t="shared" si="43"/>
        <v>1.2</v>
      </c>
      <c r="R152" s="1">
        <f t="shared" si="35"/>
        <v>0</v>
      </c>
      <c r="S152" s="1">
        <f t="shared" si="36"/>
        <v>0</v>
      </c>
      <c r="T152" s="1">
        <f t="shared" si="37"/>
        <v>0</v>
      </c>
      <c r="U152" s="1">
        <f t="shared" si="38"/>
        <v>0</v>
      </c>
      <c r="V152" s="1">
        <f t="shared" si="44"/>
        <v>0</v>
      </c>
      <c r="W152" s="1">
        <f t="shared" si="39"/>
        <v>0</v>
      </c>
      <c r="X152" s="1">
        <f t="shared" si="40"/>
        <v>0</v>
      </c>
      <c r="Y152" s="1">
        <f t="shared" si="41"/>
        <v>0</v>
      </c>
      <c r="Z152" s="1">
        <f t="shared" si="42"/>
        <v>0</v>
      </c>
      <c r="AA152" s="1">
        <f t="shared" si="45"/>
        <v>0</v>
      </c>
    </row>
    <row r="153" spans="12:27" x14ac:dyDescent="0.3">
      <c r="L153">
        <v>152</v>
      </c>
      <c r="M153" s="1">
        <f t="shared" si="31"/>
        <v>0</v>
      </c>
      <c r="N153" s="1">
        <f t="shared" si="32"/>
        <v>0</v>
      </c>
      <c r="O153" s="1">
        <f t="shared" si="33"/>
        <v>1.2</v>
      </c>
      <c r="P153" s="1">
        <f t="shared" si="34"/>
        <v>0</v>
      </c>
      <c r="Q153" s="1">
        <f t="shared" si="43"/>
        <v>1.2</v>
      </c>
      <c r="R153" s="1">
        <f t="shared" si="35"/>
        <v>0</v>
      </c>
      <c r="S153" s="1">
        <f t="shared" si="36"/>
        <v>0</v>
      </c>
      <c r="T153" s="1">
        <f t="shared" si="37"/>
        <v>0</v>
      </c>
      <c r="U153" s="1">
        <f t="shared" si="38"/>
        <v>0</v>
      </c>
      <c r="V153" s="1">
        <f t="shared" si="44"/>
        <v>0</v>
      </c>
      <c r="W153" s="1">
        <f t="shared" si="39"/>
        <v>0</v>
      </c>
      <c r="X153" s="1">
        <f t="shared" si="40"/>
        <v>0</v>
      </c>
      <c r="Y153" s="1">
        <f t="shared" si="41"/>
        <v>0</v>
      </c>
      <c r="Z153" s="1">
        <f t="shared" si="42"/>
        <v>0</v>
      </c>
      <c r="AA153" s="1">
        <f t="shared" si="45"/>
        <v>0</v>
      </c>
    </row>
    <row r="154" spans="12:27" x14ac:dyDescent="0.3">
      <c r="L154">
        <v>153</v>
      </c>
      <c r="M154" s="1">
        <f t="shared" si="31"/>
        <v>0</v>
      </c>
      <c r="N154" s="1">
        <f t="shared" si="32"/>
        <v>0</v>
      </c>
      <c r="O154" s="1">
        <f t="shared" si="33"/>
        <v>1.2</v>
      </c>
      <c r="P154" s="1">
        <f t="shared" si="34"/>
        <v>0</v>
      </c>
      <c r="Q154" s="1">
        <f t="shared" si="43"/>
        <v>1.2</v>
      </c>
      <c r="R154" s="1">
        <f t="shared" si="35"/>
        <v>0</v>
      </c>
      <c r="S154" s="1">
        <f t="shared" si="36"/>
        <v>0</v>
      </c>
      <c r="T154" s="1">
        <f t="shared" si="37"/>
        <v>0</v>
      </c>
      <c r="U154" s="1">
        <f t="shared" si="38"/>
        <v>0</v>
      </c>
      <c r="V154" s="1">
        <f t="shared" si="44"/>
        <v>0</v>
      </c>
      <c r="W154" s="1">
        <f t="shared" si="39"/>
        <v>0</v>
      </c>
      <c r="X154" s="1">
        <f t="shared" si="40"/>
        <v>0</v>
      </c>
      <c r="Y154" s="1">
        <f t="shared" si="41"/>
        <v>0</v>
      </c>
      <c r="Z154" s="1">
        <f t="shared" si="42"/>
        <v>0</v>
      </c>
      <c r="AA154" s="1">
        <f t="shared" si="45"/>
        <v>0</v>
      </c>
    </row>
    <row r="155" spans="12:27" x14ac:dyDescent="0.3">
      <c r="L155">
        <v>154</v>
      </c>
      <c r="M155" s="1">
        <f t="shared" si="31"/>
        <v>0</v>
      </c>
      <c r="N155" s="1">
        <f t="shared" si="32"/>
        <v>0</v>
      </c>
      <c r="O155" s="1">
        <f t="shared" si="33"/>
        <v>1.2</v>
      </c>
      <c r="P155" s="1">
        <f t="shared" si="34"/>
        <v>0</v>
      </c>
      <c r="Q155" s="1">
        <f t="shared" si="43"/>
        <v>1.2</v>
      </c>
      <c r="R155" s="1">
        <f t="shared" si="35"/>
        <v>0</v>
      </c>
      <c r="S155" s="1">
        <f t="shared" si="36"/>
        <v>0</v>
      </c>
      <c r="T155" s="1">
        <f t="shared" si="37"/>
        <v>0</v>
      </c>
      <c r="U155" s="1">
        <f t="shared" si="38"/>
        <v>0</v>
      </c>
      <c r="V155" s="1">
        <f t="shared" si="44"/>
        <v>0</v>
      </c>
      <c r="W155" s="1">
        <f t="shared" si="39"/>
        <v>0</v>
      </c>
      <c r="X155" s="1">
        <f t="shared" si="40"/>
        <v>0</v>
      </c>
      <c r="Y155" s="1">
        <f t="shared" si="41"/>
        <v>0</v>
      </c>
      <c r="Z155" s="1">
        <f t="shared" si="42"/>
        <v>0</v>
      </c>
      <c r="AA155" s="1">
        <f t="shared" si="45"/>
        <v>0</v>
      </c>
    </row>
    <row r="156" spans="12:27" x14ac:dyDescent="0.3">
      <c r="L156">
        <v>155</v>
      </c>
      <c r="M156" s="1">
        <f t="shared" si="31"/>
        <v>0</v>
      </c>
      <c r="N156" s="1">
        <f t="shared" si="32"/>
        <v>0</v>
      </c>
      <c r="O156" s="1">
        <f t="shared" si="33"/>
        <v>1.2</v>
      </c>
      <c r="P156" s="1">
        <f t="shared" si="34"/>
        <v>0</v>
      </c>
      <c r="Q156" s="1">
        <f t="shared" si="43"/>
        <v>1.2</v>
      </c>
      <c r="R156" s="1">
        <f t="shared" si="35"/>
        <v>0</v>
      </c>
      <c r="S156" s="1">
        <f t="shared" si="36"/>
        <v>0</v>
      </c>
      <c r="T156" s="1">
        <f t="shared" si="37"/>
        <v>0</v>
      </c>
      <c r="U156" s="1">
        <f t="shared" si="38"/>
        <v>0</v>
      </c>
      <c r="V156" s="1">
        <f t="shared" si="44"/>
        <v>0</v>
      </c>
      <c r="W156" s="1">
        <f t="shared" si="39"/>
        <v>0</v>
      </c>
      <c r="X156" s="1">
        <f t="shared" si="40"/>
        <v>0</v>
      </c>
      <c r="Y156" s="1">
        <f t="shared" si="41"/>
        <v>0</v>
      </c>
      <c r="Z156" s="1">
        <f t="shared" si="42"/>
        <v>0</v>
      </c>
      <c r="AA156" s="1">
        <f t="shared" si="45"/>
        <v>0</v>
      </c>
    </row>
    <row r="157" spans="12:27" x14ac:dyDescent="0.3">
      <c r="L157">
        <v>156</v>
      </c>
      <c r="M157" s="1">
        <f t="shared" si="31"/>
        <v>0</v>
      </c>
      <c r="N157" s="1">
        <f t="shared" si="32"/>
        <v>0</v>
      </c>
      <c r="O157" s="1">
        <f t="shared" si="33"/>
        <v>1.2</v>
      </c>
      <c r="P157" s="1">
        <f t="shared" si="34"/>
        <v>0</v>
      </c>
      <c r="Q157" s="1">
        <f t="shared" si="43"/>
        <v>1.2</v>
      </c>
      <c r="R157" s="1">
        <f t="shared" si="35"/>
        <v>0</v>
      </c>
      <c r="S157" s="1">
        <f t="shared" si="36"/>
        <v>0</v>
      </c>
      <c r="T157" s="1">
        <f t="shared" si="37"/>
        <v>0</v>
      </c>
      <c r="U157" s="1">
        <f t="shared" si="38"/>
        <v>0</v>
      </c>
      <c r="V157" s="1">
        <f t="shared" si="44"/>
        <v>0</v>
      </c>
      <c r="W157" s="1">
        <f t="shared" si="39"/>
        <v>0</v>
      </c>
      <c r="X157" s="1">
        <f t="shared" si="40"/>
        <v>0</v>
      </c>
      <c r="Y157" s="1">
        <f t="shared" si="41"/>
        <v>0</v>
      </c>
      <c r="Z157" s="1">
        <f t="shared" si="42"/>
        <v>0</v>
      </c>
      <c r="AA157" s="1">
        <f t="shared" si="45"/>
        <v>0</v>
      </c>
    </row>
    <row r="158" spans="12:27" x14ac:dyDescent="0.3">
      <c r="L158">
        <v>157</v>
      </c>
      <c r="M158" s="1">
        <f t="shared" si="31"/>
        <v>0</v>
      </c>
      <c r="N158" s="1">
        <f t="shared" si="32"/>
        <v>0</v>
      </c>
      <c r="O158" s="1">
        <f t="shared" si="33"/>
        <v>1.2</v>
      </c>
      <c r="P158" s="1">
        <f t="shared" si="34"/>
        <v>0</v>
      </c>
      <c r="Q158" s="1">
        <f t="shared" si="43"/>
        <v>1.2</v>
      </c>
      <c r="R158" s="1">
        <f t="shared" si="35"/>
        <v>0</v>
      </c>
      <c r="S158" s="1">
        <f t="shared" si="36"/>
        <v>0</v>
      </c>
      <c r="T158" s="1">
        <f t="shared" si="37"/>
        <v>0</v>
      </c>
      <c r="U158" s="1">
        <f t="shared" si="38"/>
        <v>0</v>
      </c>
      <c r="V158" s="1">
        <f t="shared" si="44"/>
        <v>0</v>
      </c>
      <c r="W158" s="1">
        <f t="shared" si="39"/>
        <v>0</v>
      </c>
      <c r="X158" s="1">
        <f t="shared" si="40"/>
        <v>0</v>
      </c>
      <c r="Y158" s="1">
        <f t="shared" si="41"/>
        <v>0</v>
      </c>
      <c r="Z158" s="1">
        <f t="shared" si="42"/>
        <v>0</v>
      </c>
      <c r="AA158" s="1">
        <f t="shared" si="45"/>
        <v>0</v>
      </c>
    </row>
    <row r="159" spans="12:27" x14ac:dyDescent="0.3">
      <c r="L159">
        <v>158</v>
      </c>
      <c r="M159" s="1">
        <f t="shared" si="31"/>
        <v>0</v>
      </c>
      <c r="N159" s="1">
        <f t="shared" si="32"/>
        <v>0</v>
      </c>
      <c r="O159" s="1">
        <f t="shared" si="33"/>
        <v>1.2</v>
      </c>
      <c r="P159" s="1">
        <f t="shared" si="34"/>
        <v>0</v>
      </c>
      <c r="Q159" s="1">
        <f t="shared" si="43"/>
        <v>1.2</v>
      </c>
      <c r="R159" s="1">
        <f t="shared" si="35"/>
        <v>0</v>
      </c>
      <c r="S159" s="1">
        <f t="shared" si="36"/>
        <v>0</v>
      </c>
      <c r="T159" s="1">
        <f t="shared" si="37"/>
        <v>0</v>
      </c>
      <c r="U159" s="1">
        <f t="shared" si="38"/>
        <v>0</v>
      </c>
      <c r="V159" s="1">
        <f t="shared" si="44"/>
        <v>0</v>
      </c>
      <c r="W159" s="1">
        <f t="shared" si="39"/>
        <v>0</v>
      </c>
      <c r="X159" s="1">
        <f t="shared" si="40"/>
        <v>0</v>
      </c>
      <c r="Y159" s="1">
        <f t="shared" si="41"/>
        <v>0</v>
      </c>
      <c r="Z159" s="1">
        <f t="shared" si="42"/>
        <v>0</v>
      </c>
      <c r="AA159" s="1">
        <f t="shared" si="45"/>
        <v>0</v>
      </c>
    </row>
    <row r="160" spans="12:27" x14ac:dyDescent="0.3">
      <c r="L160">
        <v>159</v>
      </c>
      <c r="M160" s="1">
        <f t="shared" si="31"/>
        <v>0</v>
      </c>
      <c r="N160" s="1">
        <f t="shared" si="32"/>
        <v>0</v>
      </c>
      <c r="O160" s="1">
        <f t="shared" si="33"/>
        <v>1.2</v>
      </c>
      <c r="P160" s="1">
        <f t="shared" si="34"/>
        <v>0</v>
      </c>
      <c r="Q160" s="1">
        <f t="shared" si="43"/>
        <v>1.2</v>
      </c>
      <c r="R160" s="1">
        <f t="shared" si="35"/>
        <v>0</v>
      </c>
      <c r="S160" s="1">
        <f t="shared" si="36"/>
        <v>0</v>
      </c>
      <c r="T160" s="1">
        <f t="shared" si="37"/>
        <v>0</v>
      </c>
      <c r="U160" s="1">
        <f t="shared" si="38"/>
        <v>0</v>
      </c>
      <c r="V160" s="1">
        <f t="shared" si="44"/>
        <v>0</v>
      </c>
      <c r="W160" s="1">
        <f t="shared" si="39"/>
        <v>0</v>
      </c>
      <c r="X160" s="1">
        <f t="shared" si="40"/>
        <v>0</v>
      </c>
      <c r="Y160" s="1">
        <f t="shared" si="41"/>
        <v>0</v>
      </c>
      <c r="Z160" s="1">
        <f t="shared" si="42"/>
        <v>0</v>
      </c>
      <c r="AA160" s="1">
        <f t="shared" si="45"/>
        <v>0</v>
      </c>
    </row>
    <row r="161" spans="12:27" x14ac:dyDescent="0.3">
      <c r="L161">
        <v>160</v>
      </c>
      <c r="M161" s="1">
        <f t="shared" si="31"/>
        <v>0</v>
      </c>
      <c r="N161" s="1">
        <f t="shared" si="32"/>
        <v>0</v>
      </c>
      <c r="O161" s="1">
        <f t="shared" si="33"/>
        <v>1.2</v>
      </c>
      <c r="P161" s="1">
        <f t="shared" si="34"/>
        <v>0</v>
      </c>
      <c r="Q161" s="1">
        <f t="shared" si="43"/>
        <v>1.2</v>
      </c>
      <c r="R161" s="1">
        <f t="shared" si="35"/>
        <v>0</v>
      </c>
      <c r="S161" s="1">
        <f t="shared" si="36"/>
        <v>0</v>
      </c>
      <c r="T161" s="1">
        <f t="shared" si="37"/>
        <v>0</v>
      </c>
      <c r="U161" s="1">
        <f t="shared" si="38"/>
        <v>0</v>
      </c>
      <c r="V161" s="1">
        <f t="shared" si="44"/>
        <v>0</v>
      </c>
      <c r="W161" s="1">
        <f t="shared" si="39"/>
        <v>0</v>
      </c>
      <c r="X161" s="1">
        <f t="shared" si="40"/>
        <v>0</v>
      </c>
      <c r="Y161" s="1">
        <f t="shared" si="41"/>
        <v>0</v>
      </c>
      <c r="Z161" s="1">
        <f t="shared" si="42"/>
        <v>0</v>
      </c>
      <c r="AA161" s="1">
        <f t="shared" si="45"/>
        <v>0</v>
      </c>
    </row>
    <row r="162" spans="12:27" x14ac:dyDescent="0.3">
      <c r="L162">
        <v>161</v>
      </c>
      <c r="M162" s="1">
        <f t="shared" si="31"/>
        <v>0</v>
      </c>
      <c r="N162" s="1">
        <f t="shared" si="32"/>
        <v>0</v>
      </c>
      <c r="O162" s="1">
        <f t="shared" si="33"/>
        <v>1.2</v>
      </c>
      <c r="P162" s="1">
        <f t="shared" si="34"/>
        <v>0</v>
      </c>
      <c r="Q162" s="1">
        <f t="shared" si="43"/>
        <v>1.2</v>
      </c>
      <c r="R162" s="1">
        <f t="shared" si="35"/>
        <v>0</v>
      </c>
      <c r="S162" s="1">
        <f t="shared" si="36"/>
        <v>0</v>
      </c>
      <c r="T162" s="1">
        <f t="shared" si="37"/>
        <v>0</v>
      </c>
      <c r="U162" s="1">
        <f t="shared" si="38"/>
        <v>0</v>
      </c>
      <c r="V162" s="1">
        <f t="shared" si="44"/>
        <v>0</v>
      </c>
      <c r="W162" s="1">
        <f t="shared" si="39"/>
        <v>0</v>
      </c>
      <c r="X162" s="1">
        <f t="shared" si="40"/>
        <v>0</v>
      </c>
      <c r="Y162" s="1">
        <f t="shared" si="41"/>
        <v>0</v>
      </c>
      <c r="Z162" s="1">
        <f t="shared" si="42"/>
        <v>0</v>
      </c>
      <c r="AA162" s="1">
        <f t="shared" si="45"/>
        <v>0</v>
      </c>
    </row>
    <row r="163" spans="12:27" x14ac:dyDescent="0.3">
      <c r="L163">
        <v>162</v>
      </c>
      <c r="M163" s="1">
        <f t="shared" si="31"/>
        <v>0</v>
      </c>
      <c r="N163" s="1">
        <f t="shared" si="32"/>
        <v>0</v>
      </c>
      <c r="O163" s="1">
        <f t="shared" si="33"/>
        <v>1.2</v>
      </c>
      <c r="P163" s="1">
        <f t="shared" si="34"/>
        <v>0</v>
      </c>
      <c r="Q163" s="1">
        <f t="shared" si="43"/>
        <v>1.2</v>
      </c>
      <c r="R163" s="1">
        <f t="shared" si="35"/>
        <v>0</v>
      </c>
      <c r="S163" s="1">
        <f t="shared" si="36"/>
        <v>0</v>
      </c>
      <c r="T163" s="1">
        <f t="shared" si="37"/>
        <v>0</v>
      </c>
      <c r="U163" s="1">
        <f t="shared" si="38"/>
        <v>0</v>
      </c>
      <c r="V163" s="1">
        <f t="shared" si="44"/>
        <v>0</v>
      </c>
      <c r="W163" s="1">
        <f t="shared" si="39"/>
        <v>0</v>
      </c>
      <c r="X163" s="1">
        <f t="shared" si="40"/>
        <v>0</v>
      </c>
      <c r="Y163" s="1">
        <f t="shared" si="41"/>
        <v>0</v>
      </c>
      <c r="Z163" s="1">
        <f t="shared" si="42"/>
        <v>0</v>
      </c>
      <c r="AA163" s="1">
        <f t="shared" si="45"/>
        <v>0</v>
      </c>
    </row>
    <row r="164" spans="12:27" x14ac:dyDescent="0.3">
      <c r="L164">
        <v>163</v>
      </c>
      <c r="M164" s="1">
        <f t="shared" si="31"/>
        <v>0</v>
      </c>
      <c r="N164" s="1">
        <f t="shared" si="32"/>
        <v>0</v>
      </c>
      <c r="O164" s="1">
        <f t="shared" si="33"/>
        <v>1.2</v>
      </c>
      <c r="P164" s="1">
        <f t="shared" si="34"/>
        <v>0</v>
      </c>
      <c r="Q164" s="1">
        <f t="shared" si="43"/>
        <v>1.2</v>
      </c>
      <c r="R164" s="1">
        <f t="shared" si="35"/>
        <v>0</v>
      </c>
      <c r="S164" s="1">
        <f t="shared" si="36"/>
        <v>0</v>
      </c>
      <c r="T164" s="1">
        <f t="shared" si="37"/>
        <v>0</v>
      </c>
      <c r="U164" s="1">
        <f t="shared" si="38"/>
        <v>0</v>
      </c>
      <c r="V164" s="1">
        <f t="shared" si="44"/>
        <v>0</v>
      </c>
      <c r="W164" s="1">
        <f t="shared" si="39"/>
        <v>0</v>
      </c>
      <c r="X164" s="1">
        <f t="shared" si="40"/>
        <v>0</v>
      </c>
      <c r="Y164" s="1">
        <f t="shared" si="41"/>
        <v>0</v>
      </c>
      <c r="Z164" s="1">
        <f t="shared" si="42"/>
        <v>0</v>
      </c>
      <c r="AA164" s="1">
        <f t="shared" si="45"/>
        <v>0</v>
      </c>
    </row>
    <row r="165" spans="12:27" x14ac:dyDescent="0.3">
      <c r="L165">
        <v>164</v>
      </c>
      <c r="M165" s="1">
        <f t="shared" si="31"/>
        <v>0</v>
      </c>
      <c r="N165" s="1">
        <f t="shared" si="32"/>
        <v>0</v>
      </c>
      <c r="O165" s="1">
        <f t="shared" si="33"/>
        <v>1.2</v>
      </c>
      <c r="P165" s="1">
        <f t="shared" si="34"/>
        <v>0</v>
      </c>
      <c r="Q165" s="1">
        <f t="shared" si="43"/>
        <v>1.2</v>
      </c>
      <c r="R165" s="1">
        <f t="shared" si="35"/>
        <v>0</v>
      </c>
      <c r="S165" s="1">
        <f t="shared" si="36"/>
        <v>0</v>
      </c>
      <c r="T165" s="1">
        <f t="shared" si="37"/>
        <v>0</v>
      </c>
      <c r="U165" s="1">
        <f t="shared" si="38"/>
        <v>0</v>
      </c>
      <c r="V165" s="1">
        <f t="shared" si="44"/>
        <v>0</v>
      </c>
      <c r="W165" s="1">
        <f t="shared" si="39"/>
        <v>0</v>
      </c>
      <c r="X165" s="1">
        <f t="shared" si="40"/>
        <v>0</v>
      </c>
      <c r="Y165" s="1">
        <f t="shared" si="41"/>
        <v>0</v>
      </c>
      <c r="Z165" s="1">
        <f t="shared" si="42"/>
        <v>0</v>
      </c>
      <c r="AA165" s="1">
        <f t="shared" si="45"/>
        <v>0</v>
      </c>
    </row>
    <row r="166" spans="12:27" x14ac:dyDescent="0.3">
      <c r="L166">
        <v>165</v>
      </c>
      <c r="M166" s="1">
        <f t="shared" si="31"/>
        <v>0</v>
      </c>
      <c r="N166" s="1">
        <f t="shared" si="32"/>
        <v>0</v>
      </c>
      <c r="O166" s="1">
        <f t="shared" si="33"/>
        <v>1.2</v>
      </c>
      <c r="P166" s="1">
        <f t="shared" si="34"/>
        <v>0</v>
      </c>
      <c r="Q166" s="1">
        <f t="shared" si="43"/>
        <v>1.2</v>
      </c>
      <c r="R166" s="1">
        <f t="shared" si="35"/>
        <v>0</v>
      </c>
      <c r="S166" s="1">
        <f t="shared" si="36"/>
        <v>0</v>
      </c>
      <c r="T166" s="1">
        <f t="shared" si="37"/>
        <v>0</v>
      </c>
      <c r="U166" s="1">
        <f t="shared" si="38"/>
        <v>0</v>
      </c>
      <c r="V166" s="1">
        <f t="shared" si="44"/>
        <v>0</v>
      </c>
      <c r="W166" s="1">
        <f t="shared" si="39"/>
        <v>0</v>
      </c>
      <c r="X166" s="1">
        <f t="shared" si="40"/>
        <v>0</v>
      </c>
      <c r="Y166" s="1">
        <f t="shared" si="41"/>
        <v>0</v>
      </c>
      <c r="Z166" s="1">
        <f t="shared" si="42"/>
        <v>0</v>
      </c>
      <c r="AA166" s="1">
        <f t="shared" si="45"/>
        <v>0</v>
      </c>
    </row>
    <row r="167" spans="12:27" x14ac:dyDescent="0.3">
      <c r="L167">
        <v>166</v>
      </c>
      <c r="M167" s="1">
        <f t="shared" si="31"/>
        <v>0</v>
      </c>
      <c r="N167" s="1">
        <f t="shared" si="32"/>
        <v>0</v>
      </c>
      <c r="O167" s="1">
        <f t="shared" si="33"/>
        <v>1.2</v>
      </c>
      <c r="P167" s="1">
        <f t="shared" si="34"/>
        <v>0</v>
      </c>
      <c r="Q167" s="1">
        <f t="shared" si="43"/>
        <v>1.2</v>
      </c>
      <c r="R167" s="1">
        <f t="shared" si="35"/>
        <v>0</v>
      </c>
      <c r="S167" s="1">
        <f t="shared" si="36"/>
        <v>0</v>
      </c>
      <c r="T167" s="1">
        <f t="shared" si="37"/>
        <v>0</v>
      </c>
      <c r="U167" s="1">
        <f t="shared" si="38"/>
        <v>0</v>
      </c>
      <c r="V167" s="1">
        <f t="shared" si="44"/>
        <v>0</v>
      </c>
      <c r="W167" s="1">
        <f t="shared" si="39"/>
        <v>0</v>
      </c>
      <c r="X167" s="1">
        <f t="shared" si="40"/>
        <v>0</v>
      </c>
      <c r="Y167" s="1">
        <f t="shared" si="41"/>
        <v>0</v>
      </c>
      <c r="Z167" s="1">
        <f t="shared" si="42"/>
        <v>0</v>
      </c>
      <c r="AA167" s="1">
        <f t="shared" si="45"/>
        <v>0</v>
      </c>
    </row>
    <row r="168" spans="12:27" x14ac:dyDescent="0.3">
      <c r="L168">
        <v>167</v>
      </c>
      <c r="M168" s="1">
        <f t="shared" si="31"/>
        <v>0</v>
      </c>
      <c r="N168" s="1">
        <f t="shared" si="32"/>
        <v>0</v>
      </c>
      <c r="O168" s="1">
        <f t="shared" si="33"/>
        <v>1.2</v>
      </c>
      <c r="P168" s="1">
        <f t="shared" si="34"/>
        <v>0</v>
      </c>
      <c r="Q168" s="1">
        <f t="shared" si="43"/>
        <v>1.2</v>
      </c>
      <c r="R168" s="1">
        <f t="shared" si="35"/>
        <v>0</v>
      </c>
      <c r="S168" s="1">
        <f t="shared" si="36"/>
        <v>0</v>
      </c>
      <c r="T168" s="1">
        <f t="shared" si="37"/>
        <v>0</v>
      </c>
      <c r="U168" s="1">
        <f t="shared" si="38"/>
        <v>0</v>
      </c>
      <c r="V168" s="1">
        <f t="shared" si="44"/>
        <v>0</v>
      </c>
      <c r="W168" s="1">
        <f t="shared" si="39"/>
        <v>0</v>
      </c>
      <c r="X168" s="1">
        <f t="shared" si="40"/>
        <v>0</v>
      </c>
      <c r="Y168" s="1">
        <f t="shared" si="41"/>
        <v>0</v>
      </c>
      <c r="Z168" s="1">
        <f t="shared" si="42"/>
        <v>0</v>
      </c>
      <c r="AA168" s="1">
        <f t="shared" si="45"/>
        <v>0</v>
      </c>
    </row>
    <row r="169" spans="12:27" x14ac:dyDescent="0.3">
      <c r="L169">
        <v>168</v>
      </c>
      <c r="M169" s="1">
        <f t="shared" si="31"/>
        <v>0</v>
      </c>
      <c r="N169" s="1">
        <f t="shared" si="32"/>
        <v>0</v>
      </c>
      <c r="O169" s="1">
        <f t="shared" si="33"/>
        <v>1.2</v>
      </c>
      <c r="P169" s="1">
        <f t="shared" si="34"/>
        <v>0</v>
      </c>
      <c r="Q169" s="1">
        <f t="shared" si="43"/>
        <v>1.2</v>
      </c>
      <c r="R169" s="1">
        <f t="shared" si="35"/>
        <v>0</v>
      </c>
      <c r="S169" s="1">
        <f t="shared" si="36"/>
        <v>0</v>
      </c>
      <c r="T169" s="1">
        <f t="shared" si="37"/>
        <v>0</v>
      </c>
      <c r="U169" s="1">
        <f t="shared" si="38"/>
        <v>0</v>
      </c>
      <c r="V169" s="1">
        <f t="shared" si="44"/>
        <v>0</v>
      </c>
      <c r="W169" s="1">
        <f t="shared" si="39"/>
        <v>0</v>
      </c>
      <c r="X169" s="1">
        <f t="shared" si="40"/>
        <v>0</v>
      </c>
      <c r="Y169" s="1">
        <f t="shared" si="41"/>
        <v>0</v>
      </c>
      <c r="Z169" s="1">
        <f t="shared" si="42"/>
        <v>0</v>
      </c>
      <c r="AA169" s="1">
        <f t="shared" si="45"/>
        <v>0</v>
      </c>
    </row>
    <row r="170" spans="12:27" x14ac:dyDescent="0.3">
      <c r="L170">
        <v>169</v>
      </c>
      <c r="M170" s="1">
        <f t="shared" si="31"/>
        <v>0</v>
      </c>
      <c r="N170" s="1">
        <f t="shared" si="32"/>
        <v>0</v>
      </c>
      <c r="O170" s="1">
        <f t="shared" si="33"/>
        <v>1.2</v>
      </c>
      <c r="P170" s="1">
        <f t="shared" si="34"/>
        <v>0</v>
      </c>
      <c r="Q170" s="1">
        <f t="shared" si="43"/>
        <v>1.2</v>
      </c>
      <c r="R170" s="1">
        <f t="shared" si="35"/>
        <v>0</v>
      </c>
      <c r="S170" s="1">
        <f t="shared" si="36"/>
        <v>0</v>
      </c>
      <c r="T170" s="1">
        <f t="shared" si="37"/>
        <v>0</v>
      </c>
      <c r="U170" s="1">
        <f t="shared" si="38"/>
        <v>0</v>
      </c>
      <c r="V170" s="1">
        <f t="shared" si="44"/>
        <v>0</v>
      </c>
      <c r="W170" s="1">
        <f t="shared" si="39"/>
        <v>0</v>
      </c>
      <c r="X170" s="1">
        <f t="shared" si="40"/>
        <v>0</v>
      </c>
      <c r="Y170" s="1">
        <f t="shared" si="41"/>
        <v>0</v>
      </c>
      <c r="Z170" s="1">
        <f t="shared" si="42"/>
        <v>0</v>
      </c>
      <c r="AA170" s="1">
        <f t="shared" si="45"/>
        <v>0</v>
      </c>
    </row>
    <row r="171" spans="12:27" x14ac:dyDescent="0.3">
      <c r="L171">
        <v>170</v>
      </c>
      <c r="M171" s="1">
        <f t="shared" si="31"/>
        <v>0</v>
      </c>
      <c r="N171" s="1">
        <f t="shared" si="32"/>
        <v>0</v>
      </c>
      <c r="O171" s="1">
        <f t="shared" si="33"/>
        <v>1.2</v>
      </c>
      <c r="P171" s="1">
        <f t="shared" si="34"/>
        <v>0</v>
      </c>
      <c r="Q171" s="1">
        <f t="shared" si="43"/>
        <v>1.2</v>
      </c>
      <c r="R171" s="1">
        <f t="shared" si="35"/>
        <v>0</v>
      </c>
      <c r="S171" s="1">
        <f t="shared" si="36"/>
        <v>0</v>
      </c>
      <c r="T171" s="1">
        <f t="shared" si="37"/>
        <v>0</v>
      </c>
      <c r="U171" s="1">
        <f t="shared" si="38"/>
        <v>0</v>
      </c>
      <c r="V171" s="1">
        <f t="shared" si="44"/>
        <v>0</v>
      </c>
      <c r="W171" s="1">
        <f t="shared" si="39"/>
        <v>0</v>
      </c>
      <c r="X171" s="1">
        <f t="shared" si="40"/>
        <v>0</v>
      </c>
      <c r="Y171" s="1">
        <f t="shared" si="41"/>
        <v>0</v>
      </c>
      <c r="Z171" s="1">
        <f t="shared" si="42"/>
        <v>0</v>
      </c>
      <c r="AA171" s="1">
        <f t="shared" si="45"/>
        <v>0</v>
      </c>
    </row>
    <row r="172" spans="12:27" x14ac:dyDescent="0.3">
      <c r="L172">
        <v>171</v>
      </c>
      <c r="M172" s="1">
        <f t="shared" si="31"/>
        <v>0</v>
      </c>
      <c r="N172" s="1">
        <f t="shared" si="32"/>
        <v>0</v>
      </c>
      <c r="O172" s="1">
        <f t="shared" si="33"/>
        <v>1.2</v>
      </c>
      <c r="P172" s="1">
        <f t="shared" si="34"/>
        <v>0</v>
      </c>
      <c r="Q172" s="1">
        <f t="shared" si="43"/>
        <v>1.2</v>
      </c>
      <c r="R172" s="1">
        <f t="shared" si="35"/>
        <v>0</v>
      </c>
      <c r="S172" s="1">
        <f t="shared" si="36"/>
        <v>0</v>
      </c>
      <c r="T172" s="1">
        <f t="shared" si="37"/>
        <v>0</v>
      </c>
      <c r="U172" s="1">
        <f t="shared" si="38"/>
        <v>0</v>
      </c>
      <c r="V172" s="1">
        <f t="shared" si="44"/>
        <v>0</v>
      </c>
      <c r="W172" s="1">
        <f t="shared" si="39"/>
        <v>0</v>
      </c>
      <c r="X172" s="1">
        <f t="shared" si="40"/>
        <v>0</v>
      </c>
      <c r="Y172" s="1">
        <f t="shared" si="41"/>
        <v>0</v>
      </c>
      <c r="Z172" s="1">
        <f t="shared" si="42"/>
        <v>0</v>
      </c>
      <c r="AA172" s="1">
        <f t="shared" si="45"/>
        <v>0</v>
      </c>
    </row>
    <row r="173" spans="12:27" x14ac:dyDescent="0.3">
      <c r="L173">
        <v>172</v>
      </c>
      <c r="M173" s="1">
        <f t="shared" si="31"/>
        <v>0</v>
      </c>
      <c r="N173" s="1">
        <f t="shared" si="32"/>
        <v>0</v>
      </c>
      <c r="O173" s="1">
        <f t="shared" si="33"/>
        <v>1.2</v>
      </c>
      <c r="P173" s="1">
        <f t="shared" si="34"/>
        <v>0</v>
      </c>
      <c r="Q173" s="1">
        <f t="shared" si="43"/>
        <v>1.2</v>
      </c>
      <c r="R173" s="1">
        <f t="shared" si="35"/>
        <v>0</v>
      </c>
      <c r="S173" s="1">
        <f t="shared" si="36"/>
        <v>0</v>
      </c>
      <c r="T173" s="1">
        <f t="shared" si="37"/>
        <v>0</v>
      </c>
      <c r="U173" s="1">
        <f t="shared" si="38"/>
        <v>0</v>
      </c>
      <c r="V173" s="1">
        <f t="shared" si="44"/>
        <v>0</v>
      </c>
      <c r="W173" s="1">
        <f t="shared" si="39"/>
        <v>0</v>
      </c>
      <c r="X173" s="1">
        <f t="shared" si="40"/>
        <v>0</v>
      </c>
      <c r="Y173" s="1">
        <f t="shared" si="41"/>
        <v>0</v>
      </c>
      <c r="Z173" s="1">
        <f t="shared" si="42"/>
        <v>0</v>
      </c>
      <c r="AA173" s="1">
        <f t="shared" si="45"/>
        <v>0</v>
      </c>
    </row>
    <row r="174" spans="12:27" x14ac:dyDescent="0.3">
      <c r="L174">
        <v>173</v>
      </c>
      <c r="M174" s="1">
        <f t="shared" si="31"/>
        <v>0</v>
      </c>
      <c r="N174" s="1">
        <f t="shared" si="32"/>
        <v>0</v>
      </c>
      <c r="O174" s="1">
        <f t="shared" si="33"/>
        <v>1.2</v>
      </c>
      <c r="P174" s="1">
        <f t="shared" si="34"/>
        <v>0</v>
      </c>
      <c r="Q174" s="1">
        <f t="shared" si="43"/>
        <v>1.2</v>
      </c>
      <c r="R174" s="1">
        <f t="shared" si="35"/>
        <v>0</v>
      </c>
      <c r="S174" s="1">
        <f t="shared" si="36"/>
        <v>0</v>
      </c>
      <c r="T174" s="1">
        <f t="shared" si="37"/>
        <v>0</v>
      </c>
      <c r="U174" s="1">
        <f t="shared" si="38"/>
        <v>0</v>
      </c>
      <c r="V174" s="1">
        <f t="shared" si="44"/>
        <v>0</v>
      </c>
      <c r="W174" s="1">
        <f t="shared" si="39"/>
        <v>0</v>
      </c>
      <c r="X174" s="1">
        <f t="shared" si="40"/>
        <v>0</v>
      </c>
      <c r="Y174" s="1">
        <f t="shared" si="41"/>
        <v>0</v>
      </c>
      <c r="Z174" s="1">
        <f t="shared" si="42"/>
        <v>0</v>
      </c>
      <c r="AA174" s="1">
        <f t="shared" si="45"/>
        <v>0</v>
      </c>
    </row>
    <row r="175" spans="12:27" x14ac:dyDescent="0.3">
      <c r="L175">
        <v>174</v>
      </c>
      <c r="M175" s="1">
        <f t="shared" si="31"/>
        <v>0</v>
      </c>
      <c r="N175" s="1">
        <f t="shared" si="32"/>
        <v>0</v>
      </c>
      <c r="O175" s="1">
        <f t="shared" si="33"/>
        <v>1.2</v>
      </c>
      <c r="P175" s="1">
        <f t="shared" si="34"/>
        <v>0</v>
      </c>
      <c r="Q175" s="1">
        <f t="shared" si="43"/>
        <v>1.2</v>
      </c>
      <c r="R175" s="1">
        <f t="shared" si="35"/>
        <v>0</v>
      </c>
      <c r="S175" s="1">
        <f t="shared" si="36"/>
        <v>0</v>
      </c>
      <c r="T175" s="1">
        <f t="shared" si="37"/>
        <v>0</v>
      </c>
      <c r="U175" s="1">
        <f t="shared" si="38"/>
        <v>0</v>
      </c>
      <c r="V175" s="1">
        <f t="shared" si="44"/>
        <v>0</v>
      </c>
      <c r="W175" s="1">
        <f t="shared" si="39"/>
        <v>0</v>
      </c>
      <c r="X175" s="1">
        <f t="shared" si="40"/>
        <v>0</v>
      </c>
      <c r="Y175" s="1">
        <f t="shared" si="41"/>
        <v>0</v>
      </c>
      <c r="Z175" s="1">
        <f t="shared" si="42"/>
        <v>0</v>
      </c>
      <c r="AA175" s="1">
        <f t="shared" si="45"/>
        <v>0</v>
      </c>
    </row>
    <row r="176" spans="12:27" x14ac:dyDescent="0.3">
      <c r="L176">
        <v>175</v>
      </c>
      <c r="M176" s="1">
        <f t="shared" si="31"/>
        <v>0</v>
      </c>
      <c r="N176" s="1">
        <f t="shared" si="32"/>
        <v>0</v>
      </c>
      <c r="O176" s="1">
        <f t="shared" si="33"/>
        <v>1.2</v>
      </c>
      <c r="P176" s="1">
        <f t="shared" si="34"/>
        <v>0</v>
      </c>
      <c r="Q176" s="1">
        <f t="shared" si="43"/>
        <v>1.2</v>
      </c>
      <c r="R176" s="1">
        <f t="shared" si="35"/>
        <v>0</v>
      </c>
      <c r="S176" s="1">
        <f t="shared" si="36"/>
        <v>0</v>
      </c>
      <c r="T176" s="1">
        <f t="shared" si="37"/>
        <v>0</v>
      </c>
      <c r="U176" s="1">
        <f t="shared" si="38"/>
        <v>0</v>
      </c>
      <c r="V176" s="1">
        <f t="shared" si="44"/>
        <v>0</v>
      </c>
      <c r="W176" s="1">
        <f t="shared" si="39"/>
        <v>0</v>
      </c>
      <c r="X176" s="1">
        <f t="shared" si="40"/>
        <v>0</v>
      </c>
      <c r="Y176" s="1">
        <f t="shared" si="41"/>
        <v>0</v>
      </c>
      <c r="Z176" s="1">
        <f t="shared" si="42"/>
        <v>0</v>
      </c>
      <c r="AA176" s="1">
        <f t="shared" si="45"/>
        <v>0</v>
      </c>
    </row>
    <row r="177" spans="12:27" x14ac:dyDescent="0.3">
      <c r="L177">
        <v>176</v>
      </c>
      <c r="M177" s="1">
        <f t="shared" si="31"/>
        <v>0</v>
      </c>
      <c r="N177" s="1">
        <f t="shared" si="32"/>
        <v>0</v>
      </c>
      <c r="O177" s="1">
        <f t="shared" si="33"/>
        <v>1.2</v>
      </c>
      <c r="P177" s="1">
        <f t="shared" si="34"/>
        <v>0</v>
      </c>
      <c r="Q177" s="1">
        <f t="shared" si="43"/>
        <v>1.2</v>
      </c>
      <c r="R177" s="1">
        <f t="shared" si="35"/>
        <v>0</v>
      </c>
      <c r="S177" s="1">
        <f t="shared" si="36"/>
        <v>0</v>
      </c>
      <c r="T177" s="1">
        <f t="shared" si="37"/>
        <v>0</v>
      </c>
      <c r="U177" s="1">
        <f t="shared" si="38"/>
        <v>0</v>
      </c>
      <c r="V177" s="1">
        <f t="shared" si="44"/>
        <v>0</v>
      </c>
      <c r="W177" s="1">
        <f t="shared" si="39"/>
        <v>0</v>
      </c>
      <c r="X177" s="1">
        <f t="shared" si="40"/>
        <v>0</v>
      </c>
      <c r="Y177" s="1">
        <f t="shared" si="41"/>
        <v>0</v>
      </c>
      <c r="Z177" s="1">
        <f t="shared" si="42"/>
        <v>0</v>
      </c>
      <c r="AA177" s="1">
        <f t="shared" si="45"/>
        <v>0</v>
      </c>
    </row>
    <row r="178" spans="12:27" x14ac:dyDescent="0.3">
      <c r="L178">
        <v>177</v>
      </c>
      <c r="M178" s="1">
        <f t="shared" si="31"/>
        <v>0</v>
      </c>
      <c r="N178" s="1">
        <f t="shared" si="32"/>
        <v>0</v>
      </c>
      <c r="O178" s="1">
        <f t="shared" si="33"/>
        <v>1.2</v>
      </c>
      <c r="P178" s="1">
        <f t="shared" si="34"/>
        <v>0</v>
      </c>
      <c r="Q178" s="1">
        <f t="shared" si="43"/>
        <v>1.2</v>
      </c>
      <c r="R178" s="1">
        <f t="shared" si="35"/>
        <v>0</v>
      </c>
      <c r="S178" s="1">
        <f t="shared" si="36"/>
        <v>0</v>
      </c>
      <c r="T178" s="1">
        <f t="shared" si="37"/>
        <v>0</v>
      </c>
      <c r="U178" s="1">
        <f t="shared" si="38"/>
        <v>0</v>
      </c>
      <c r="V178" s="1">
        <f t="shared" si="44"/>
        <v>0</v>
      </c>
      <c r="W178" s="1">
        <f t="shared" si="39"/>
        <v>0</v>
      </c>
      <c r="X178" s="1">
        <f t="shared" si="40"/>
        <v>0</v>
      </c>
      <c r="Y178" s="1">
        <f t="shared" si="41"/>
        <v>0</v>
      </c>
      <c r="Z178" s="1">
        <f t="shared" si="42"/>
        <v>0</v>
      </c>
      <c r="AA178" s="1">
        <f t="shared" si="45"/>
        <v>0</v>
      </c>
    </row>
    <row r="179" spans="12:27" x14ac:dyDescent="0.3">
      <c r="L179">
        <v>178</v>
      </c>
      <c r="M179" s="1">
        <f t="shared" si="31"/>
        <v>0</v>
      </c>
      <c r="N179" s="1">
        <f t="shared" si="32"/>
        <v>0</v>
      </c>
      <c r="O179" s="1">
        <f t="shared" si="33"/>
        <v>1.2</v>
      </c>
      <c r="P179" s="1">
        <f t="shared" si="34"/>
        <v>0</v>
      </c>
      <c r="Q179" s="1">
        <f t="shared" si="43"/>
        <v>1.2</v>
      </c>
      <c r="R179" s="1">
        <f t="shared" si="35"/>
        <v>0</v>
      </c>
      <c r="S179" s="1">
        <f t="shared" si="36"/>
        <v>0</v>
      </c>
      <c r="T179" s="1">
        <f t="shared" si="37"/>
        <v>0</v>
      </c>
      <c r="U179" s="1">
        <f t="shared" si="38"/>
        <v>0</v>
      </c>
      <c r="V179" s="1">
        <f t="shared" si="44"/>
        <v>0</v>
      </c>
      <c r="W179" s="1">
        <f t="shared" si="39"/>
        <v>0</v>
      </c>
      <c r="X179" s="1">
        <f t="shared" si="40"/>
        <v>0</v>
      </c>
      <c r="Y179" s="1">
        <f t="shared" si="41"/>
        <v>0</v>
      </c>
      <c r="Z179" s="1">
        <f t="shared" si="42"/>
        <v>0</v>
      </c>
      <c r="AA179" s="1">
        <f t="shared" si="45"/>
        <v>0</v>
      </c>
    </row>
    <row r="180" spans="12:27" x14ac:dyDescent="0.3">
      <c r="L180">
        <v>179</v>
      </c>
      <c r="M180" s="1">
        <f t="shared" si="31"/>
        <v>0</v>
      </c>
      <c r="N180" s="1">
        <f t="shared" si="32"/>
        <v>0</v>
      </c>
      <c r="O180" s="1">
        <f t="shared" si="33"/>
        <v>1.2</v>
      </c>
      <c r="P180" s="1">
        <f t="shared" si="34"/>
        <v>0</v>
      </c>
      <c r="Q180" s="1">
        <f t="shared" si="43"/>
        <v>1.2</v>
      </c>
      <c r="R180" s="1">
        <f t="shared" si="35"/>
        <v>0</v>
      </c>
      <c r="S180" s="1">
        <f t="shared" si="36"/>
        <v>0</v>
      </c>
      <c r="T180" s="1">
        <f t="shared" si="37"/>
        <v>0</v>
      </c>
      <c r="U180" s="1">
        <f t="shared" si="38"/>
        <v>0</v>
      </c>
      <c r="V180" s="1">
        <f t="shared" si="44"/>
        <v>0</v>
      </c>
      <c r="W180" s="1">
        <f t="shared" si="39"/>
        <v>0</v>
      </c>
      <c r="X180" s="1">
        <f t="shared" si="40"/>
        <v>0</v>
      </c>
      <c r="Y180" s="1">
        <f t="shared" si="41"/>
        <v>0</v>
      </c>
      <c r="Z180" s="1">
        <f t="shared" si="42"/>
        <v>0</v>
      </c>
      <c r="AA180" s="1">
        <f t="shared" si="45"/>
        <v>0</v>
      </c>
    </row>
    <row r="181" spans="12:27" x14ac:dyDescent="0.3">
      <c r="L181">
        <v>180</v>
      </c>
      <c r="M181" s="1">
        <f t="shared" si="31"/>
        <v>0</v>
      </c>
      <c r="N181" s="1">
        <f t="shared" si="32"/>
        <v>0</v>
      </c>
      <c r="O181" s="1">
        <f t="shared" si="33"/>
        <v>1.2</v>
      </c>
      <c r="P181" s="1">
        <f t="shared" si="34"/>
        <v>0</v>
      </c>
      <c r="Q181" s="1">
        <f t="shared" si="43"/>
        <v>1.2</v>
      </c>
      <c r="R181" s="1">
        <f t="shared" si="35"/>
        <v>0</v>
      </c>
      <c r="S181" s="1">
        <f t="shared" si="36"/>
        <v>0</v>
      </c>
      <c r="T181" s="1">
        <f t="shared" si="37"/>
        <v>0</v>
      </c>
      <c r="U181" s="1">
        <f t="shared" si="38"/>
        <v>0</v>
      </c>
      <c r="V181" s="1">
        <f t="shared" si="44"/>
        <v>0</v>
      </c>
      <c r="W181" s="1">
        <f t="shared" si="39"/>
        <v>0</v>
      </c>
      <c r="X181" s="1">
        <f t="shared" si="40"/>
        <v>0</v>
      </c>
      <c r="Y181" s="1">
        <f t="shared" si="41"/>
        <v>0</v>
      </c>
      <c r="Z181" s="1">
        <f t="shared" si="42"/>
        <v>0</v>
      </c>
      <c r="AA181" s="1">
        <f t="shared" si="45"/>
        <v>0</v>
      </c>
    </row>
    <row r="182" spans="12:27" x14ac:dyDescent="0.3">
      <c r="L182">
        <v>181</v>
      </c>
      <c r="M182" s="1">
        <f t="shared" si="31"/>
        <v>0</v>
      </c>
      <c r="N182" s="1">
        <f t="shared" si="32"/>
        <v>0</v>
      </c>
      <c r="O182" s="1">
        <f t="shared" si="33"/>
        <v>1.2</v>
      </c>
      <c r="P182" s="1">
        <f t="shared" si="34"/>
        <v>0</v>
      </c>
      <c r="Q182" s="1">
        <f t="shared" si="43"/>
        <v>1.2</v>
      </c>
      <c r="R182" s="1">
        <f t="shared" si="35"/>
        <v>0</v>
      </c>
      <c r="S182" s="1">
        <f t="shared" si="36"/>
        <v>0</v>
      </c>
      <c r="T182" s="1">
        <f t="shared" si="37"/>
        <v>0</v>
      </c>
      <c r="U182" s="1">
        <f t="shared" si="38"/>
        <v>0</v>
      </c>
      <c r="V182" s="1">
        <f t="shared" si="44"/>
        <v>0</v>
      </c>
      <c r="W182" s="1">
        <f t="shared" si="39"/>
        <v>0</v>
      </c>
      <c r="X182" s="1">
        <f t="shared" si="40"/>
        <v>0</v>
      </c>
      <c r="Y182" s="1">
        <f t="shared" si="41"/>
        <v>0</v>
      </c>
      <c r="Z182" s="1">
        <f t="shared" si="42"/>
        <v>0</v>
      </c>
      <c r="AA182" s="1">
        <f t="shared" si="45"/>
        <v>0</v>
      </c>
    </row>
    <row r="183" spans="12:27" x14ac:dyDescent="0.3">
      <c r="L183">
        <v>182</v>
      </c>
      <c r="M183" s="1">
        <f t="shared" si="31"/>
        <v>0</v>
      </c>
      <c r="N183" s="1">
        <f t="shared" si="32"/>
        <v>0</v>
      </c>
      <c r="O183" s="1">
        <f t="shared" si="33"/>
        <v>1.2</v>
      </c>
      <c r="P183" s="1">
        <f t="shared" si="34"/>
        <v>0</v>
      </c>
      <c r="Q183" s="1">
        <f t="shared" si="43"/>
        <v>1.2</v>
      </c>
      <c r="R183" s="1">
        <f t="shared" si="35"/>
        <v>0</v>
      </c>
      <c r="S183" s="1">
        <f t="shared" si="36"/>
        <v>0</v>
      </c>
      <c r="T183" s="1">
        <f t="shared" si="37"/>
        <v>0</v>
      </c>
      <c r="U183" s="1">
        <f t="shared" si="38"/>
        <v>0</v>
      </c>
      <c r="V183" s="1">
        <f t="shared" si="44"/>
        <v>0</v>
      </c>
      <c r="W183" s="1">
        <f t="shared" si="39"/>
        <v>0</v>
      </c>
      <c r="X183" s="1">
        <f t="shared" si="40"/>
        <v>0</v>
      </c>
      <c r="Y183" s="1">
        <f t="shared" si="41"/>
        <v>0</v>
      </c>
      <c r="Z183" s="1">
        <f t="shared" si="42"/>
        <v>0</v>
      </c>
      <c r="AA183" s="1">
        <f t="shared" si="45"/>
        <v>0</v>
      </c>
    </row>
    <row r="184" spans="12:27" x14ac:dyDescent="0.3">
      <c r="L184">
        <v>183</v>
      </c>
      <c r="M184" s="1">
        <f t="shared" si="31"/>
        <v>0</v>
      </c>
      <c r="N184" s="1">
        <f t="shared" si="32"/>
        <v>0</v>
      </c>
      <c r="O184" s="1">
        <f t="shared" si="33"/>
        <v>1.2</v>
      </c>
      <c r="P184" s="1">
        <f t="shared" si="34"/>
        <v>0</v>
      </c>
      <c r="Q184" s="1">
        <f t="shared" si="43"/>
        <v>1.2</v>
      </c>
      <c r="R184" s="1">
        <f t="shared" si="35"/>
        <v>0</v>
      </c>
      <c r="S184" s="1">
        <f t="shared" si="36"/>
        <v>0</v>
      </c>
      <c r="T184" s="1">
        <f t="shared" si="37"/>
        <v>0</v>
      </c>
      <c r="U184" s="1">
        <f t="shared" si="38"/>
        <v>0</v>
      </c>
      <c r="V184" s="1">
        <f t="shared" si="44"/>
        <v>0</v>
      </c>
      <c r="W184" s="1">
        <f t="shared" si="39"/>
        <v>0</v>
      </c>
      <c r="X184" s="1">
        <f t="shared" si="40"/>
        <v>0</v>
      </c>
      <c r="Y184" s="1">
        <f t="shared" si="41"/>
        <v>0</v>
      </c>
      <c r="Z184" s="1">
        <f t="shared" si="42"/>
        <v>0</v>
      </c>
      <c r="AA184" s="1">
        <f t="shared" si="45"/>
        <v>0</v>
      </c>
    </row>
    <row r="185" spans="12:27" x14ac:dyDescent="0.3">
      <c r="L185">
        <v>184</v>
      </c>
      <c r="M185" s="1">
        <f t="shared" si="31"/>
        <v>0</v>
      </c>
      <c r="N185" s="1">
        <f t="shared" si="32"/>
        <v>0</v>
      </c>
      <c r="O185" s="1">
        <f t="shared" si="33"/>
        <v>1.2</v>
      </c>
      <c r="P185" s="1">
        <f t="shared" si="34"/>
        <v>0</v>
      </c>
      <c r="Q185" s="1">
        <f t="shared" si="43"/>
        <v>1.2</v>
      </c>
      <c r="R185" s="1">
        <f t="shared" si="35"/>
        <v>0</v>
      </c>
      <c r="S185" s="1">
        <f t="shared" si="36"/>
        <v>0</v>
      </c>
      <c r="T185" s="1">
        <f t="shared" si="37"/>
        <v>0</v>
      </c>
      <c r="U185" s="1">
        <f t="shared" si="38"/>
        <v>0</v>
      </c>
      <c r="V185" s="1">
        <f t="shared" si="44"/>
        <v>0</v>
      </c>
      <c r="W185" s="1">
        <f t="shared" si="39"/>
        <v>0</v>
      </c>
      <c r="X185" s="1">
        <f t="shared" si="40"/>
        <v>0</v>
      </c>
      <c r="Y185" s="1">
        <f t="shared" si="41"/>
        <v>0</v>
      </c>
      <c r="Z185" s="1">
        <f t="shared" si="42"/>
        <v>0</v>
      </c>
      <c r="AA185" s="1">
        <f t="shared" si="45"/>
        <v>0</v>
      </c>
    </row>
    <row r="186" spans="12:27" x14ac:dyDescent="0.3">
      <c r="L186">
        <v>185</v>
      </c>
      <c r="M186" s="1">
        <f t="shared" si="31"/>
        <v>0</v>
      </c>
      <c r="N186" s="1">
        <f t="shared" si="32"/>
        <v>0</v>
      </c>
      <c r="O186" s="1">
        <f t="shared" si="33"/>
        <v>1.2</v>
      </c>
      <c r="P186" s="1">
        <f t="shared" si="34"/>
        <v>0</v>
      </c>
      <c r="Q186" s="1">
        <f t="shared" si="43"/>
        <v>1.2</v>
      </c>
      <c r="R186" s="1">
        <f t="shared" si="35"/>
        <v>0</v>
      </c>
      <c r="S186" s="1">
        <f t="shared" si="36"/>
        <v>0</v>
      </c>
      <c r="T186" s="1">
        <f t="shared" si="37"/>
        <v>0</v>
      </c>
      <c r="U186" s="1">
        <f t="shared" si="38"/>
        <v>0</v>
      </c>
      <c r="V186" s="1">
        <f t="shared" si="44"/>
        <v>0</v>
      </c>
      <c r="W186" s="1">
        <f t="shared" si="39"/>
        <v>0</v>
      </c>
      <c r="X186" s="1">
        <f t="shared" si="40"/>
        <v>0</v>
      </c>
      <c r="Y186" s="1">
        <f t="shared" si="41"/>
        <v>0</v>
      </c>
      <c r="Z186" s="1">
        <f t="shared" si="42"/>
        <v>0</v>
      </c>
      <c r="AA186" s="1">
        <f t="shared" si="45"/>
        <v>0</v>
      </c>
    </row>
    <row r="187" spans="12:27" x14ac:dyDescent="0.3">
      <c r="L187">
        <v>186</v>
      </c>
      <c r="M187" s="1">
        <f t="shared" si="31"/>
        <v>0</v>
      </c>
      <c r="N187" s="1">
        <f t="shared" si="32"/>
        <v>0</v>
      </c>
      <c r="O187" s="1">
        <f t="shared" si="33"/>
        <v>1.2</v>
      </c>
      <c r="P187" s="1">
        <f t="shared" si="34"/>
        <v>1.2</v>
      </c>
      <c r="Q187" s="1">
        <f t="shared" si="43"/>
        <v>1.2</v>
      </c>
      <c r="R187" s="1">
        <f t="shared" si="35"/>
        <v>0</v>
      </c>
      <c r="S187" s="1">
        <f t="shared" si="36"/>
        <v>0</v>
      </c>
      <c r="T187" s="1">
        <f t="shared" si="37"/>
        <v>0</v>
      </c>
      <c r="U187" s="1">
        <f t="shared" si="38"/>
        <v>0</v>
      </c>
      <c r="V187" s="1">
        <f t="shared" si="44"/>
        <v>0</v>
      </c>
      <c r="W187" s="1">
        <f t="shared" si="39"/>
        <v>0</v>
      </c>
      <c r="X187" s="1">
        <f t="shared" si="40"/>
        <v>0</v>
      </c>
      <c r="Y187" s="1">
        <f t="shared" si="41"/>
        <v>0</v>
      </c>
      <c r="Z187" s="1">
        <f t="shared" si="42"/>
        <v>0</v>
      </c>
      <c r="AA187" s="1">
        <f t="shared" si="45"/>
        <v>0</v>
      </c>
    </row>
    <row r="188" spans="12:27" x14ac:dyDescent="0.3">
      <c r="L188">
        <v>187</v>
      </c>
      <c r="M188" s="1">
        <f t="shared" si="31"/>
        <v>0</v>
      </c>
      <c r="N188" s="1">
        <f t="shared" si="32"/>
        <v>0</v>
      </c>
      <c r="O188" s="1">
        <f t="shared" si="33"/>
        <v>0</v>
      </c>
      <c r="P188" s="1">
        <f t="shared" si="34"/>
        <v>1.18</v>
      </c>
      <c r="Q188" s="1">
        <f t="shared" si="43"/>
        <v>1.18</v>
      </c>
      <c r="R188" s="1">
        <f t="shared" si="35"/>
        <v>0</v>
      </c>
      <c r="S188" s="1">
        <f t="shared" si="36"/>
        <v>0</v>
      </c>
      <c r="T188" s="1">
        <f t="shared" si="37"/>
        <v>0</v>
      </c>
      <c r="U188" s="1">
        <f t="shared" si="38"/>
        <v>0</v>
      </c>
      <c r="V188" s="1">
        <f t="shared" si="44"/>
        <v>0</v>
      </c>
      <c r="W188" s="1">
        <f t="shared" si="39"/>
        <v>0</v>
      </c>
      <c r="X188" s="1">
        <f t="shared" si="40"/>
        <v>0</v>
      </c>
      <c r="Y188" s="1">
        <f t="shared" si="41"/>
        <v>0</v>
      </c>
      <c r="Z188" s="1">
        <f t="shared" si="42"/>
        <v>0</v>
      </c>
      <c r="AA188" s="1">
        <f t="shared" si="45"/>
        <v>0</v>
      </c>
    </row>
    <row r="189" spans="12:27" x14ac:dyDescent="0.3">
      <c r="L189">
        <v>188</v>
      </c>
      <c r="M189" s="1">
        <f t="shared" si="31"/>
        <v>0</v>
      </c>
      <c r="N189" s="1">
        <f t="shared" si="32"/>
        <v>0</v>
      </c>
      <c r="O189" s="1">
        <f t="shared" si="33"/>
        <v>0</v>
      </c>
      <c r="P189" s="1">
        <f t="shared" si="34"/>
        <v>1.1599999999999999</v>
      </c>
      <c r="Q189" s="1">
        <f t="shared" si="43"/>
        <v>1.1599999999999999</v>
      </c>
      <c r="R189" s="1">
        <f t="shared" si="35"/>
        <v>0</v>
      </c>
      <c r="S189" s="1">
        <f t="shared" si="36"/>
        <v>0</v>
      </c>
      <c r="T189" s="1">
        <f t="shared" si="37"/>
        <v>0</v>
      </c>
      <c r="U189" s="1">
        <f t="shared" si="38"/>
        <v>0</v>
      </c>
      <c r="V189" s="1">
        <f t="shared" si="44"/>
        <v>0</v>
      </c>
      <c r="W189" s="1">
        <f t="shared" si="39"/>
        <v>0</v>
      </c>
      <c r="X189" s="1">
        <f t="shared" si="40"/>
        <v>0</v>
      </c>
      <c r="Y189" s="1">
        <f t="shared" si="41"/>
        <v>0</v>
      </c>
      <c r="Z189" s="1">
        <f t="shared" si="42"/>
        <v>0</v>
      </c>
      <c r="AA189" s="1">
        <f t="shared" si="45"/>
        <v>0</v>
      </c>
    </row>
    <row r="190" spans="12:27" x14ac:dyDescent="0.3">
      <c r="L190">
        <v>189</v>
      </c>
      <c r="M190" s="1">
        <f t="shared" si="31"/>
        <v>0</v>
      </c>
      <c r="N190" s="1">
        <f t="shared" si="32"/>
        <v>0</v>
      </c>
      <c r="O190" s="1">
        <f t="shared" si="33"/>
        <v>0</v>
      </c>
      <c r="P190" s="1">
        <f t="shared" si="34"/>
        <v>1.1399999999999999</v>
      </c>
      <c r="Q190" s="1">
        <f t="shared" si="43"/>
        <v>1.1399999999999999</v>
      </c>
      <c r="R190" s="1">
        <f t="shared" si="35"/>
        <v>0</v>
      </c>
      <c r="S190" s="1">
        <f t="shared" si="36"/>
        <v>0</v>
      </c>
      <c r="T190" s="1">
        <f t="shared" si="37"/>
        <v>0</v>
      </c>
      <c r="U190" s="1">
        <f t="shared" si="38"/>
        <v>0</v>
      </c>
      <c r="V190" s="1">
        <f t="shared" si="44"/>
        <v>0</v>
      </c>
      <c r="W190" s="1">
        <f t="shared" si="39"/>
        <v>0</v>
      </c>
      <c r="X190" s="1">
        <f t="shared" si="40"/>
        <v>0</v>
      </c>
      <c r="Y190" s="1">
        <f t="shared" si="41"/>
        <v>0</v>
      </c>
      <c r="Z190" s="1">
        <f t="shared" si="42"/>
        <v>0</v>
      </c>
      <c r="AA190" s="1">
        <f t="shared" si="45"/>
        <v>0</v>
      </c>
    </row>
    <row r="191" spans="12:27" x14ac:dyDescent="0.3">
      <c r="L191">
        <v>190</v>
      </c>
      <c r="M191" s="1">
        <f t="shared" si="31"/>
        <v>0</v>
      </c>
      <c r="N191" s="1">
        <f t="shared" si="32"/>
        <v>0</v>
      </c>
      <c r="O191" s="1">
        <f t="shared" si="33"/>
        <v>0</v>
      </c>
      <c r="P191" s="1">
        <f t="shared" si="34"/>
        <v>1.1199999999999999</v>
      </c>
      <c r="Q191" s="1">
        <f t="shared" si="43"/>
        <v>1.1199999999999999</v>
      </c>
      <c r="R191" s="1">
        <f t="shared" si="35"/>
        <v>0</v>
      </c>
      <c r="S191" s="1">
        <f t="shared" si="36"/>
        <v>0</v>
      </c>
      <c r="T191" s="1">
        <f t="shared" si="37"/>
        <v>0</v>
      </c>
      <c r="U191" s="1">
        <f t="shared" si="38"/>
        <v>0</v>
      </c>
      <c r="V191" s="1">
        <f t="shared" si="44"/>
        <v>0</v>
      </c>
      <c r="W191" s="1">
        <f t="shared" si="39"/>
        <v>0</v>
      </c>
      <c r="X191" s="1">
        <f t="shared" si="40"/>
        <v>0</v>
      </c>
      <c r="Y191" s="1">
        <f t="shared" si="41"/>
        <v>0</v>
      </c>
      <c r="Z191" s="1">
        <f t="shared" si="42"/>
        <v>0</v>
      </c>
      <c r="AA191" s="1">
        <f t="shared" si="45"/>
        <v>0</v>
      </c>
    </row>
    <row r="192" spans="12:27" x14ac:dyDescent="0.3">
      <c r="L192">
        <v>191</v>
      </c>
      <c r="M192" s="1">
        <f t="shared" si="31"/>
        <v>0</v>
      </c>
      <c r="N192" s="1">
        <f t="shared" si="32"/>
        <v>0</v>
      </c>
      <c r="O192" s="1">
        <f t="shared" si="33"/>
        <v>0</v>
      </c>
      <c r="P192" s="1">
        <f t="shared" si="34"/>
        <v>1.0999999999999999</v>
      </c>
      <c r="Q192" s="1">
        <f t="shared" si="43"/>
        <v>1.0999999999999999</v>
      </c>
      <c r="R192" s="1">
        <f t="shared" si="35"/>
        <v>0</v>
      </c>
      <c r="S192" s="1">
        <f t="shared" si="36"/>
        <v>0</v>
      </c>
      <c r="T192" s="1">
        <f t="shared" si="37"/>
        <v>0</v>
      </c>
      <c r="U192" s="1">
        <f t="shared" si="38"/>
        <v>0</v>
      </c>
      <c r="V192" s="1">
        <f t="shared" si="44"/>
        <v>0</v>
      </c>
      <c r="W192" s="1">
        <f t="shared" si="39"/>
        <v>0</v>
      </c>
      <c r="X192" s="1">
        <f t="shared" si="40"/>
        <v>0</v>
      </c>
      <c r="Y192" s="1">
        <f t="shared" si="41"/>
        <v>0</v>
      </c>
      <c r="Z192" s="1">
        <f t="shared" si="42"/>
        <v>0</v>
      </c>
      <c r="AA192" s="1">
        <f t="shared" si="45"/>
        <v>0</v>
      </c>
    </row>
    <row r="193" spans="12:27" x14ac:dyDescent="0.3">
      <c r="L193">
        <v>192</v>
      </c>
      <c r="M193" s="1">
        <f t="shared" si="31"/>
        <v>0</v>
      </c>
      <c r="N193" s="1">
        <f t="shared" si="32"/>
        <v>0</v>
      </c>
      <c r="O193" s="1">
        <f t="shared" si="33"/>
        <v>0</v>
      </c>
      <c r="P193" s="1">
        <f t="shared" si="34"/>
        <v>1.08</v>
      </c>
      <c r="Q193" s="1">
        <f t="shared" si="43"/>
        <v>1.08</v>
      </c>
      <c r="R193" s="1">
        <f t="shared" si="35"/>
        <v>0</v>
      </c>
      <c r="S193" s="1">
        <f t="shared" si="36"/>
        <v>0</v>
      </c>
      <c r="T193" s="1">
        <f t="shared" si="37"/>
        <v>0</v>
      </c>
      <c r="U193" s="1">
        <f t="shared" si="38"/>
        <v>0</v>
      </c>
      <c r="V193" s="1">
        <f t="shared" si="44"/>
        <v>0</v>
      </c>
      <c r="W193" s="1">
        <f t="shared" si="39"/>
        <v>0</v>
      </c>
      <c r="X193" s="1">
        <f t="shared" si="40"/>
        <v>0</v>
      </c>
      <c r="Y193" s="1">
        <f t="shared" si="41"/>
        <v>0</v>
      </c>
      <c r="Z193" s="1">
        <f t="shared" si="42"/>
        <v>0</v>
      </c>
      <c r="AA193" s="1">
        <f t="shared" si="45"/>
        <v>0</v>
      </c>
    </row>
    <row r="194" spans="12:27" x14ac:dyDescent="0.3">
      <c r="L194">
        <v>193</v>
      </c>
      <c r="M194" s="1">
        <f t="shared" ref="M194:M257" si="46">MAX(IF(OR(kcjd&lt;jdplant1,kcjd&gt;jdplant1+C$21),0,kc.ini.1),M559)</f>
        <v>0</v>
      </c>
      <c r="N194" s="1">
        <f t="shared" ref="N194:N257" si="47">MAX(IF(OR(kcjd&lt;jdplant1+C$21,kcjd&gt;jdplant1+SUM(C$21,D$21)),0,+H$21+(kcjd-(jdplant1+C$21))/(jdplant1+SUM(C$21,D$21)-(jdplant1+C$21))*(I$21-H$21)),N559)</f>
        <v>0</v>
      </c>
      <c r="O194" s="1">
        <f t="shared" ref="O194:O257" si="48">MAX(IF(OR(kcjd&lt;jdplant1+SUM(C$21,D$21),kcjd&gt;jdplant1+SUM(C$21,D$21,E$21)),0,kc.mid.1),O559)</f>
        <v>0</v>
      </c>
      <c r="P194" s="1">
        <f t="shared" ref="P194:P257" si="49">MAX(IF(OR(kcjd&lt;jdplant1+SUM(C$21:E$21),kcjd&gt;jdplant1+G$21),0,+I$21-(kcjd-(jdplant1+SUM(C$21:E$21)))/((jdplant1+G$21)-(jdplant1+SUM(C$21:E$21)))*(I$21-J$21)),P559)</f>
        <v>1.06</v>
      </c>
      <c r="Q194" s="1">
        <f t="shared" si="43"/>
        <v>1.06</v>
      </c>
      <c r="R194" s="1">
        <f t="shared" ref="R194:R257" si="50">MAX(IF(OR(kcjd&lt;jdplant2,kcjd&gt;jdplant2+$C$22),0,kc.ini.2),R559)</f>
        <v>0</v>
      </c>
      <c r="S194" s="1">
        <f t="shared" ref="S194:S257" si="51">MAX(IF(OR(kcjd&lt;jdplant2+$C$22,kcjd&gt;jdplant2+SUM($C$22,$D$22)),0,+kc.ini.2+(kcjd-(jdplant2+$C$22))/(jdplant2+SUM($C$22,$D$22)-(jdplant2+$C$22))*(kc.mid.2-kc.ini.2)),S559)</f>
        <v>0</v>
      </c>
      <c r="T194" s="1">
        <f t="shared" ref="T194:T257" si="52">MAX(IF(OR(kcjd&lt;jdplant2+SUM($C$22,$D$22),kcjd&gt;jdplant2+SUM($C$22,$D$22,$E$22)),0,kc.mid.2),T559)</f>
        <v>0</v>
      </c>
      <c r="U194" s="1">
        <f t="shared" ref="U194:U257" si="53">MAX(IF(OR(kcjd&lt;jdplant2+SUM($C$22:$E$22),kcjd&gt;jdplant2+$G$22),0,+kc.mid.2-(kcjd-(jdplant2+SUM($C$22:$E$22)))/((jdplant2+$G$22)-(jdplant2+SUM($C$22:$E$22)))*(kc.mid.2-kc.late.2)),U559)</f>
        <v>0</v>
      </c>
      <c r="V194" s="1">
        <f t="shared" si="44"/>
        <v>0</v>
      </c>
      <c r="W194" s="1">
        <f t="shared" ref="W194:W257" si="54">MAX(IF(OR(kcjd&lt;jdplant3,kcjd&gt;jdplant3+$C$23),0,kc.ini.3),W559)</f>
        <v>0</v>
      </c>
      <c r="X194" s="1">
        <f t="shared" ref="X194:X257" si="55">MAX(IF(OR(kcjd&lt;jdplant3+$C$23,kcjd&gt;jdplant3+SUM($C$23,$D$23)),0,+kc.ini.3+(kcjd-(jdplant3+$C$23))/(jdplant3+SUM($C$23,$D$23)-(jdplant3+$C$23))*(kc.mid.3-kc.ini.3)),X559)</f>
        <v>0</v>
      </c>
      <c r="Y194" s="1">
        <f t="shared" ref="Y194:Y257" si="56">MAX(IF(OR(kcjd&lt;jdplant3+SUM($C$23,$D$23),kcjd&gt;jdplant3+SUM($C$23,$D$23,$E$23)),0,kc.mid.3),Y559)</f>
        <v>0</v>
      </c>
      <c r="Z194" s="1">
        <f t="shared" ref="Z194:Z257" si="57">MAX(IF(OR(kcjd&lt;jdplant3+SUM($C$23:$E$23),kcjd&gt;jdplant3+$G$23),0,+kc.mid.3-(kcjd-(jdplant3+SUM($C$23:$E$23)))/((jdplant3+$G$23)-(jdplant3+SUM($C$23:$E$23)))*(kc.mid.3-kc.late.3)),Z559)</f>
        <v>0</v>
      </c>
      <c r="AA194" s="1">
        <f t="shared" si="45"/>
        <v>0</v>
      </c>
    </row>
    <row r="195" spans="12:27" x14ac:dyDescent="0.3">
      <c r="L195">
        <v>194</v>
      </c>
      <c r="M195" s="1">
        <f t="shared" si="46"/>
        <v>0</v>
      </c>
      <c r="N195" s="1">
        <f t="shared" si="47"/>
        <v>0</v>
      </c>
      <c r="O195" s="1">
        <f t="shared" si="48"/>
        <v>0</v>
      </c>
      <c r="P195" s="1">
        <f t="shared" si="49"/>
        <v>1.04</v>
      </c>
      <c r="Q195" s="1">
        <f t="shared" ref="Q195:Q258" si="58">MAX(M195:P195)</f>
        <v>1.04</v>
      </c>
      <c r="R195" s="1">
        <f t="shared" si="50"/>
        <v>0</v>
      </c>
      <c r="S195" s="1">
        <f t="shared" si="51"/>
        <v>0</v>
      </c>
      <c r="T195" s="1">
        <f t="shared" si="52"/>
        <v>0</v>
      </c>
      <c r="U195" s="1">
        <f t="shared" si="53"/>
        <v>0</v>
      </c>
      <c r="V195" s="1">
        <f t="shared" ref="V195:V258" si="59">MAX(R195:U195)</f>
        <v>0</v>
      </c>
      <c r="W195" s="1">
        <f t="shared" si="54"/>
        <v>0</v>
      </c>
      <c r="X195" s="1">
        <f t="shared" si="55"/>
        <v>0</v>
      </c>
      <c r="Y195" s="1">
        <f t="shared" si="56"/>
        <v>0</v>
      </c>
      <c r="Z195" s="1">
        <f t="shared" si="57"/>
        <v>0</v>
      </c>
      <c r="AA195" s="1">
        <f t="shared" ref="AA195:AA258" si="60">MAX(W195:Z195)</f>
        <v>0</v>
      </c>
    </row>
    <row r="196" spans="12:27" x14ac:dyDescent="0.3">
      <c r="L196">
        <v>195</v>
      </c>
      <c r="M196" s="1">
        <f t="shared" si="46"/>
        <v>0</v>
      </c>
      <c r="N196" s="1">
        <f t="shared" si="47"/>
        <v>0</v>
      </c>
      <c r="O196" s="1">
        <f t="shared" si="48"/>
        <v>0</v>
      </c>
      <c r="P196" s="1">
        <f t="shared" si="49"/>
        <v>1.02</v>
      </c>
      <c r="Q196" s="1">
        <f t="shared" si="58"/>
        <v>1.02</v>
      </c>
      <c r="R196" s="1">
        <f t="shared" si="50"/>
        <v>0</v>
      </c>
      <c r="S196" s="1">
        <f t="shared" si="51"/>
        <v>0</v>
      </c>
      <c r="T196" s="1">
        <f t="shared" si="52"/>
        <v>0</v>
      </c>
      <c r="U196" s="1">
        <f t="shared" si="53"/>
        <v>0</v>
      </c>
      <c r="V196" s="1">
        <f t="shared" si="59"/>
        <v>0</v>
      </c>
      <c r="W196" s="1">
        <f t="shared" si="54"/>
        <v>0</v>
      </c>
      <c r="X196" s="1">
        <f t="shared" si="55"/>
        <v>0</v>
      </c>
      <c r="Y196" s="1">
        <f t="shared" si="56"/>
        <v>0</v>
      </c>
      <c r="Z196" s="1">
        <f t="shared" si="57"/>
        <v>0</v>
      </c>
      <c r="AA196" s="1">
        <f t="shared" si="60"/>
        <v>0</v>
      </c>
    </row>
    <row r="197" spans="12:27" x14ac:dyDescent="0.3">
      <c r="L197">
        <v>196</v>
      </c>
      <c r="M197" s="1">
        <f t="shared" si="46"/>
        <v>0</v>
      </c>
      <c r="N197" s="1">
        <f t="shared" si="47"/>
        <v>0</v>
      </c>
      <c r="O197" s="1">
        <f t="shared" si="48"/>
        <v>0</v>
      </c>
      <c r="P197" s="1">
        <f t="shared" si="49"/>
        <v>1</v>
      </c>
      <c r="Q197" s="1">
        <f t="shared" si="58"/>
        <v>1</v>
      </c>
      <c r="R197" s="1">
        <f t="shared" si="50"/>
        <v>0</v>
      </c>
      <c r="S197" s="1">
        <f t="shared" si="51"/>
        <v>0</v>
      </c>
      <c r="T197" s="1">
        <f t="shared" si="52"/>
        <v>0</v>
      </c>
      <c r="U197" s="1">
        <f t="shared" si="53"/>
        <v>0</v>
      </c>
      <c r="V197" s="1">
        <f t="shared" si="59"/>
        <v>0</v>
      </c>
      <c r="W197" s="1">
        <f t="shared" si="54"/>
        <v>0</v>
      </c>
      <c r="X197" s="1">
        <f t="shared" si="55"/>
        <v>0</v>
      </c>
      <c r="Y197" s="1">
        <f t="shared" si="56"/>
        <v>0</v>
      </c>
      <c r="Z197" s="1">
        <f t="shared" si="57"/>
        <v>0</v>
      </c>
      <c r="AA197" s="1">
        <f t="shared" si="60"/>
        <v>0</v>
      </c>
    </row>
    <row r="198" spans="12:27" x14ac:dyDescent="0.3">
      <c r="L198">
        <v>197</v>
      </c>
      <c r="M198" s="1">
        <f t="shared" si="46"/>
        <v>0</v>
      </c>
      <c r="N198" s="1">
        <f t="shared" si="47"/>
        <v>0</v>
      </c>
      <c r="O198" s="1">
        <f t="shared" si="48"/>
        <v>0</v>
      </c>
      <c r="P198" s="1">
        <f t="shared" si="49"/>
        <v>0.98</v>
      </c>
      <c r="Q198" s="1">
        <f t="shared" si="58"/>
        <v>0.98</v>
      </c>
      <c r="R198" s="1">
        <f t="shared" si="50"/>
        <v>0</v>
      </c>
      <c r="S198" s="1">
        <f t="shared" si="51"/>
        <v>0</v>
      </c>
      <c r="T198" s="1">
        <f t="shared" si="52"/>
        <v>0</v>
      </c>
      <c r="U198" s="1">
        <f t="shared" si="53"/>
        <v>0</v>
      </c>
      <c r="V198" s="1">
        <f t="shared" si="59"/>
        <v>0</v>
      </c>
      <c r="W198" s="1">
        <f t="shared" si="54"/>
        <v>0</v>
      </c>
      <c r="X198" s="1">
        <f t="shared" si="55"/>
        <v>0</v>
      </c>
      <c r="Y198" s="1">
        <f t="shared" si="56"/>
        <v>0</v>
      </c>
      <c r="Z198" s="1">
        <f t="shared" si="57"/>
        <v>0</v>
      </c>
      <c r="AA198" s="1">
        <f t="shared" si="60"/>
        <v>0</v>
      </c>
    </row>
    <row r="199" spans="12:27" x14ac:dyDescent="0.3">
      <c r="L199">
        <v>198</v>
      </c>
      <c r="M199" s="1">
        <f t="shared" si="46"/>
        <v>0</v>
      </c>
      <c r="N199" s="1">
        <f t="shared" si="47"/>
        <v>0</v>
      </c>
      <c r="O199" s="1">
        <f t="shared" si="48"/>
        <v>0</v>
      </c>
      <c r="P199" s="1">
        <f t="shared" si="49"/>
        <v>0.96</v>
      </c>
      <c r="Q199" s="1">
        <f t="shared" si="58"/>
        <v>0.96</v>
      </c>
      <c r="R199" s="1">
        <f t="shared" si="50"/>
        <v>0</v>
      </c>
      <c r="S199" s="1">
        <f t="shared" si="51"/>
        <v>0</v>
      </c>
      <c r="T199" s="1">
        <f t="shared" si="52"/>
        <v>0</v>
      </c>
      <c r="U199" s="1">
        <f t="shared" si="53"/>
        <v>0</v>
      </c>
      <c r="V199" s="1">
        <f t="shared" si="59"/>
        <v>0</v>
      </c>
      <c r="W199" s="1">
        <f t="shared" si="54"/>
        <v>0</v>
      </c>
      <c r="X199" s="1">
        <f t="shared" si="55"/>
        <v>0</v>
      </c>
      <c r="Y199" s="1">
        <f t="shared" si="56"/>
        <v>0</v>
      </c>
      <c r="Z199" s="1">
        <f t="shared" si="57"/>
        <v>0</v>
      </c>
      <c r="AA199" s="1">
        <f t="shared" si="60"/>
        <v>0</v>
      </c>
    </row>
    <row r="200" spans="12:27" x14ac:dyDescent="0.3">
      <c r="L200">
        <v>199</v>
      </c>
      <c r="M200" s="1">
        <f t="shared" si="46"/>
        <v>0</v>
      </c>
      <c r="N200" s="1">
        <f t="shared" si="47"/>
        <v>0</v>
      </c>
      <c r="O200" s="1">
        <f t="shared" si="48"/>
        <v>0</v>
      </c>
      <c r="P200" s="1">
        <f t="shared" si="49"/>
        <v>0.94</v>
      </c>
      <c r="Q200" s="1">
        <f t="shared" si="58"/>
        <v>0.94</v>
      </c>
      <c r="R200" s="1">
        <f t="shared" si="50"/>
        <v>0</v>
      </c>
      <c r="S200" s="1">
        <f t="shared" si="51"/>
        <v>0</v>
      </c>
      <c r="T200" s="1">
        <f t="shared" si="52"/>
        <v>0</v>
      </c>
      <c r="U200" s="1">
        <f t="shared" si="53"/>
        <v>0</v>
      </c>
      <c r="V200" s="1">
        <f t="shared" si="59"/>
        <v>0</v>
      </c>
      <c r="W200" s="1">
        <f t="shared" si="54"/>
        <v>0</v>
      </c>
      <c r="X200" s="1">
        <f t="shared" si="55"/>
        <v>0</v>
      </c>
      <c r="Y200" s="1">
        <f t="shared" si="56"/>
        <v>0</v>
      </c>
      <c r="Z200" s="1">
        <f t="shared" si="57"/>
        <v>0</v>
      </c>
      <c r="AA200" s="1">
        <f t="shared" si="60"/>
        <v>0</v>
      </c>
    </row>
    <row r="201" spans="12:27" x14ac:dyDescent="0.3">
      <c r="L201">
        <v>200</v>
      </c>
      <c r="M201" s="1">
        <f t="shared" si="46"/>
        <v>0</v>
      </c>
      <c r="N201" s="1">
        <f t="shared" si="47"/>
        <v>0</v>
      </c>
      <c r="O201" s="1">
        <f t="shared" si="48"/>
        <v>0</v>
      </c>
      <c r="P201" s="1">
        <f t="shared" si="49"/>
        <v>0.91999999999999993</v>
      </c>
      <c r="Q201" s="1">
        <f t="shared" si="58"/>
        <v>0.91999999999999993</v>
      </c>
      <c r="R201" s="1">
        <f t="shared" si="50"/>
        <v>0</v>
      </c>
      <c r="S201" s="1">
        <f t="shared" si="51"/>
        <v>0</v>
      </c>
      <c r="T201" s="1">
        <f t="shared" si="52"/>
        <v>0</v>
      </c>
      <c r="U201" s="1">
        <f t="shared" si="53"/>
        <v>0</v>
      </c>
      <c r="V201" s="1">
        <f t="shared" si="59"/>
        <v>0</v>
      </c>
      <c r="W201" s="1">
        <f t="shared" si="54"/>
        <v>0</v>
      </c>
      <c r="X201" s="1">
        <f t="shared" si="55"/>
        <v>0</v>
      </c>
      <c r="Y201" s="1">
        <f t="shared" si="56"/>
        <v>0</v>
      </c>
      <c r="Z201" s="1">
        <f t="shared" si="57"/>
        <v>0</v>
      </c>
      <c r="AA201" s="1">
        <f t="shared" si="60"/>
        <v>0</v>
      </c>
    </row>
    <row r="202" spans="12:27" x14ac:dyDescent="0.3">
      <c r="L202">
        <v>201</v>
      </c>
      <c r="M202" s="1">
        <f t="shared" si="46"/>
        <v>0</v>
      </c>
      <c r="N202" s="1">
        <f t="shared" si="47"/>
        <v>0</v>
      </c>
      <c r="O202" s="1">
        <f t="shared" si="48"/>
        <v>0</v>
      </c>
      <c r="P202" s="1">
        <f t="shared" si="49"/>
        <v>0.89999999999999991</v>
      </c>
      <c r="Q202" s="1">
        <f t="shared" si="58"/>
        <v>0.89999999999999991</v>
      </c>
      <c r="R202" s="1">
        <f t="shared" si="50"/>
        <v>0</v>
      </c>
      <c r="S202" s="1">
        <f t="shared" si="51"/>
        <v>0</v>
      </c>
      <c r="T202" s="1">
        <f t="shared" si="52"/>
        <v>0</v>
      </c>
      <c r="U202" s="1">
        <f t="shared" si="53"/>
        <v>0</v>
      </c>
      <c r="V202" s="1">
        <f t="shared" si="59"/>
        <v>0</v>
      </c>
      <c r="W202" s="1">
        <f t="shared" si="54"/>
        <v>0</v>
      </c>
      <c r="X202" s="1">
        <f t="shared" si="55"/>
        <v>0</v>
      </c>
      <c r="Y202" s="1">
        <f t="shared" si="56"/>
        <v>0</v>
      </c>
      <c r="Z202" s="1">
        <f t="shared" si="57"/>
        <v>0</v>
      </c>
      <c r="AA202" s="1">
        <f t="shared" si="60"/>
        <v>0</v>
      </c>
    </row>
    <row r="203" spans="12:27" x14ac:dyDescent="0.3">
      <c r="L203">
        <v>202</v>
      </c>
      <c r="M203" s="1">
        <f t="shared" si="46"/>
        <v>0</v>
      </c>
      <c r="N203" s="1">
        <f t="shared" si="47"/>
        <v>0</v>
      </c>
      <c r="O203" s="1">
        <f t="shared" si="48"/>
        <v>0</v>
      </c>
      <c r="P203" s="1">
        <f t="shared" si="49"/>
        <v>0.87999999999999989</v>
      </c>
      <c r="Q203" s="1">
        <f t="shared" si="58"/>
        <v>0.87999999999999989</v>
      </c>
      <c r="R203" s="1">
        <f t="shared" si="50"/>
        <v>0</v>
      </c>
      <c r="S203" s="1">
        <f t="shared" si="51"/>
        <v>0</v>
      </c>
      <c r="T203" s="1">
        <f t="shared" si="52"/>
        <v>0</v>
      </c>
      <c r="U203" s="1">
        <f t="shared" si="53"/>
        <v>0</v>
      </c>
      <c r="V203" s="1">
        <f t="shared" si="59"/>
        <v>0</v>
      </c>
      <c r="W203" s="1">
        <f t="shared" si="54"/>
        <v>0</v>
      </c>
      <c r="X203" s="1">
        <f t="shared" si="55"/>
        <v>0</v>
      </c>
      <c r="Y203" s="1">
        <f t="shared" si="56"/>
        <v>0</v>
      </c>
      <c r="Z203" s="1">
        <f t="shared" si="57"/>
        <v>0</v>
      </c>
      <c r="AA203" s="1">
        <f t="shared" si="60"/>
        <v>0</v>
      </c>
    </row>
    <row r="204" spans="12:27" x14ac:dyDescent="0.3">
      <c r="L204">
        <v>203</v>
      </c>
      <c r="M204" s="1">
        <f t="shared" si="46"/>
        <v>0</v>
      </c>
      <c r="N204" s="1">
        <f t="shared" si="47"/>
        <v>0</v>
      </c>
      <c r="O204" s="1">
        <f t="shared" si="48"/>
        <v>0</v>
      </c>
      <c r="P204" s="1">
        <f t="shared" si="49"/>
        <v>0.86</v>
      </c>
      <c r="Q204" s="1">
        <f t="shared" si="58"/>
        <v>0.86</v>
      </c>
      <c r="R204" s="1">
        <f t="shared" si="50"/>
        <v>0</v>
      </c>
      <c r="S204" s="1">
        <f t="shared" si="51"/>
        <v>0</v>
      </c>
      <c r="T204" s="1">
        <f t="shared" si="52"/>
        <v>0</v>
      </c>
      <c r="U204" s="1">
        <f t="shared" si="53"/>
        <v>0</v>
      </c>
      <c r="V204" s="1">
        <f t="shared" si="59"/>
        <v>0</v>
      </c>
      <c r="W204" s="1">
        <f t="shared" si="54"/>
        <v>0</v>
      </c>
      <c r="X204" s="1">
        <f t="shared" si="55"/>
        <v>0</v>
      </c>
      <c r="Y204" s="1">
        <f t="shared" si="56"/>
        <v>0</v>
      </c>
      <c r="Z204" s="1">
        <f t="shared" si="57"/>
        <v>0</v>
      </c>
      <c r="AA204" s="1">
        <f t="shared" si="60"/>
        <v>0</v>
      </c>
    </row>
    <row r="205" spans="12:27" x14ac:dyDescent="0.3">
      <c r="L205">
        <v>204</v>
      </c>
      <c r="M205" s="1">
        <f t="shared" si="46"/>
        <v>0</v>
      </c>
      <c r="N205" s="1">
        <f t="shared" si="47"/>
        <v>0</v>
      </c>
      <c r="O205" s="1">
        <f t="shared" si="48"/>
        <v>0</v>
      </c>
      <c r="P205" s="1">
        <f t="shared" si="49"/>
        <v>0.84</v>
      </c>
      <c r="Q205" s="1">
        <f t="shared" si="58"/>
        <v>0.84</v>
      </c>
      <c r="R205" s="1">
        <f t="shared" si="50"/>
        <v>0</v>
      </c>
      <c r="S205" s="1">
        <f t="shared" si="51"/>
        <v>0</v>
      </c>
      <c r="T205" s="1">
        <f t="shared" si="52"/>
        <v>0</v>
      </c>
      <c r="U205" s="1">
        <f t="shared" si="53"/>
        <v>0</v>
      </c>
      <c r="V205" s="1">
        <f t="shared" si="59"/>
        <v>0</v>
      </c>
      <c r="W205" s="1">
        <f t="shared" si="54"/>
        <v>0</v>
      </c>
      <c r="X205" s="1">
        <f t="shared" si="55"/>
        <v>0</v>
      </c>
      <c r="Y205" s="1">
        <f t="shared" si="56"/>
        <v>0</v>
      </c>
      <c r="Z205" s="1">
        <f t="shared" si="57"/>
        <v>0</v>
      </c>
      <c r="AA205" s="1">
        <f t="shared" si="60"/>
        <v>0</v>
      </c>
    </row>
    <row r="206" spans="12:27" x14ac:dyDescent="0.3">
      <c r="L206">
        <v>205</v>
      </c>
      <c r="M206" s="1">
        <f t="shared" si="46"/>
        <v>0</v>
      </c>
      <c r="N206" s="1">
        <f t="shared" si="47"/>
        <v>0</v>
      </c>
      <c r="O206" s="1">
        <f t="shared" si="48"/>
        <v>0</v>
      </c>
      <c r="P206" s="1">
        <f t="shared" si="49"/>
        <v>0.82000000000000006</v>
      </c>
      <c r="Q206" s="1">
        <f t="shared" si="58"/>
        <v>0.82000000000000006</v>
      </c>
      <c r="R206" s="1">
        <f t="shared" si="50"/>
        <v>0</v>
      </c>
      <c r="S206" s="1">
        <f t="shared" si="51"/>
        <v>0</v>
      </c>
      <c r="T206" s="1">
        <f t="shared" si="52"/>
        <v>0</v>
      </c>
      <c r="U206" s="1">
        <f t="shared" si="53"/>
        <v>0</v>
      </c>
      <c r="V206" s="1">
        <f t="shared" si="59"/>
        <v>0</v>
      </c>
      <c r="W206" s="1">
        <f t="shared" si="54"/>
        <v>0</v>
      </c>
      <c r="X206" s="1">
        <f t="shared" si="55"/>
        <v>0</v>
      </c>
      <c r="Y206" s="1">
        <f t="shared" si="56"/>
        <v>0</v>
      </c>
      <c r="Z206" s="1">
        <f t="shared" si="57"/>
        <v>0</v>
      </c>
      <c r="AA206" s="1">
        <f t="shared" si="60"/>
        <v>0</v>
      </c>
    </row>
    <row r="207" spans="12:27" x14ac:dyDescent="0.3">
      <c r="L207">
        <v>206</v>
      </c>
      <c r="M207" s="1">
        <f t="shared" si="46"/>
        <v>0</v>
      </c>
      <c r="N207" s="1">
        <f t="shared" si="47"/>
        <v>0</v>
      </c>
      <c r="O207" s="1">
        <f t="shared" si="48"/>
        <v>0</v>
      </c>
      <c r="P207" s="1">
        <f t="shared" si="49"/>
        <v>0.8</v>
      </c>
      <c r="Q207" s="1">
        <f t="shared" si="58"/>
        <v>0.8</v>
      </c>
      <c r="R207" s="1">
        <f t="shared" si="50"/>
        <v>0</v>
      </c>
      <c r="S207" s="1">
        <f t="shared" si="51"/>
        <v>0</v>
      </c>
      <c r="T207" s="1">
        <f t="shared" si="52"/>
        <v>0</v>
      </c>
      <c r="U207" s="1">
        <f t="shared" si="53"/>
        <v>0</v>
      </c>
      <c r="V207" s="1">
        <f t="shared" si="59"/>
        <v>0</v>
      </c>
      <c r="W207" s="1">
        <f t="shared" si="54"/>
        <v>0</v>
      </c>
      <c r="X207" s="1">
        <f t="shared" si="55"/>
        <v>0</v>
      </c>
      <c r="Y207" s="1">
        <f t="shared" si="56"/>
        <v>0</v>
      </c>
      <c r="Z207" s="1">
        <f t="shared" si="57"/>
        <v>0</v>
      </c>
      <c r="AA207" s="1">
        <f t="shared" si="60"/>
        <v>0</v>
      </c>
    </row>
    <row r="208" spans="12:27" x14ac:dyDescent="0.3">
      <c r="L208">
        <v>207</v>
      </c>
      <c r="M208" s="1">
        <f t="shared" si="46"/>
        <v>0</v>
      </c>
      <c r="N208" s="1">
        <f t="shared" si="47"/>
        <v>0</v>
      </c>
      <c r="O208" s="1">
        <f t="shared" si="48"/>
        <v>0</v>
      </c>
      <c r="P208" s="1">
        <f t="shared" si="49"/>
        <v>0.78</v>
      </c>
      <c r="Q208" s="1">
        <f t="shared" si="58"/>
        <v>0.78</v>
      </c>
      <c r="R208" s="1">
        <f t="shared" si="50"/>
        <v>0</v>
      </c>
      <c r="S208" s="1">
        <f t="shared" si="51"/>
        <v>0</v>
      </c>
      <c r="T208" s="1">
        <f t="shared" si="52"/>
        <v>0</v>
      </c>
      <c r="U208" s="1">
        <f t="shared" si="53"/>
        <v>0</v>
      </c>
      <c r="V208" s="1">
        <f t="shared" si="59"/>
        <v>0</v>
      </c>
      <c r="W208" s="1">
        <f t="shared" si="54"/>
        <v>0</v>
      </c>
      <c r="X208" s="1">
        <f t="shared" si="55"/>
        <v>0</v>
      </c>
      <c r="Y208" s="1">
        <f t="shared" si="56"/>
        <v>0</v>
      </c>
      <c r="Z208" s="1">
        <f t="shared" si="57"/>
        <v>0</v>
      </c>
      <c r="AA208" s="1">
        <f t="shared" si="60"/>
        <v>0</v>
      </c>
    </row>
    <row r="209" spans="12:27" x14ac:dyDescent="0.3">
      <c r="L209">
        <v>208</v>
      </c>
      <c r="M209" s="1">
        <f t="shared" si="46"/>
        <v>0</v>
      </c>
      <c r="N209" s="1">
        <f t="shared" si="47"/>
        <v>0</v>
      </c>
      <c r="O209" s="1">
        <f t="shared" si="48"/>
        <v>0</v>
      </c>
      <c r="P209" s="1">
        <f t="shared" si="49"/>
        <v>0.76</v>
      </c>
      <c r="Q209" s="1">
        <f t="shared" si="58"/>
        <v>0.76</v>
      </c>
      <c r="R209" s="1">
        <f t="shared" si="50"/>
        <v>0</v>
      </c>
      <c r="S209" s="1">
        <f t="shared" si="51"/>
        <v>0</v>
      </c>
      <c r="T209" s="1">
        <f t="shared" si="52"/>
        <v>0</v>
      </c>
      <c r="U209" s="1">
        <f t="shared" si="53"/>
        <v>0</v>
      </c>
      <c r="V209" s="1">
        <f t="shared" si="59"/>
        <v>0</v>
      </c>
      <c r="W209" s="1">
        <f t="shared" si="54"/>
        <v>0</v>
      </c>
      <c r="X209" s="1">
        <f t="shared" si="55"/>
        <v>0</v>
      </c>
      <c r="Y209" s="1">
        <f t="shared" si="56"/>
        <v>0</v>
      </c>
      <c r="Z209" s="1">
        <f t="shared" si="57"/>
        <v>0</v>
      </c>
      <c r="AA209" s="1">
        <f t="shared" si="60"/>
        <v>0</v>
      </c>
    </row>
    <row r="210" spans="12:27" x14ac:dyDescent="0.3">
      <c r="L210">
        <v>209</v>
      </c>
      <c r="M210" s="1">
        <f t="shared" si="46"/>
        <v>0</v>
      </c>
      <c r="N210" s="1">
        <f t="shared" si="47"/>
        <v>0</v>
      </c>
      <c r="O210" s="1">
        <f t="shared" si="48"/>
        <v>0</v>
      </c>
      <c r="P210" s="1">
        <f t="shared" si="49"/>
        <v>0.74</v>
      </c>
      <c r="Q210" s="1">
        <f t="shared" si="58"/>
        <v>0.74</v>
      </c>
      <c r="R210" s="1">
        <f t="shared" si="50"/>
        <v>0</v>
      </c>
      <c r="S210" s="1">
        <f t="shared" si="51"/>
        <v>0</v>
      </c>
      <c r="T210" s="1">
        <f t="shared" si="52"/>
        <v>0</v>
      </c>
      <c r="U210" s="1">
        <f t="shared" si="53"/>
        <v>0</v>
      </c>
      <c r="V210" s="1">
        <f t="shared" si="59"/>
        <v>0</v>
      </c>
      <c r="W210" s="1">
        <f t="shared" si="54"/>
        <v>0</v>
      </c>
      <c r="X210" s="1">
        <f t="shared" si="55"/>
        <v>0</v>
      </c>
      <c r="Y210" s="1">
        <f t="shared" si="56"/>
        <v>0</v>
      </c>
      <c r="Z210" s="1">
        <f t="shared" si="57"/>
        <v>0</v>
      </c>
      <c r="AA210" s="1">
        <f t="shared" si="60"/>
        <v>0</v>
      </c>
    </row>
    <row r="211" spans="12:27" x14ac:dyDescent="0.3">
      <c r="L211">
        <v>210</v>
      </c>
      <c r="M211" s="1">
        <f t="shared" si="46"/>
        <v>0</v>
      </c>
      <c r="N211" s="1">
        <f t="shared" si="47"/>
        <v>0</v>
      </c>
      <c r="O211" s="1">
        <f t="shared" si="48"/>
        <v>0</v>
      </c>
      <c r="P211" s="1">
        <f t="shared" si="49"/>
        <v>0.72</v>
      </c>
      <c r="Q211" s="1">
        <f t="shared" si="58"/>
        <v>0.72</v>
      </c>
      <c r="R211" s="1">
        <f t="shared" si="50"/>
        <v>0</v>
      </c>
      <c r="S211" s="1">
        <f t="shared" si="51"/>
        <v>0</v>
      </c>
      <c r="T211" s="1">
        <f t="shared" si="52"/>
        <v>0</v>
      </c>
      <c r="U211" s="1">
        <f t="shared" si="53"/>
        <v>0</v>
      </c>
      <c r="V211" s="1">
        <f t="shared" si="59"/>
        <v>0</v>
      </c>
      <c r="W211" s="1">
        <f t="shared" si="54"/>
        <v>0</v>
      </c>
      <c r="X211" s="1">
        <f t="shared" si="55"/>
        <v>0</v>
      </c>
      <c r="Y211" s="1">
        <f t="shared" si="56"/>
        <v>0</v>
      </c>
      <c r="Z211" s="1">
        <f t="shared" si="57"/>
        <v>0</v>
      </c>
      <c r="AA211" s="1">
        <f t="shared" si="60"/>
        <v>0</v>
      </c>
    </row>
    <row r="212" spans="12:27" x14ac:dyDescent="0.3">
      <c r="L212">
        <v>211</v>
      </c>
      <c r="M212" s="1">
        <f t="shared" si="46"/>
        <v>0</v>
      </c>
      <c r="N212" s="1">
        <f t="shared" si="47"/>
        <v>0</v>
      </c>
      <c r="O212" s="1">
        <f t="shared" si="48"/>
        <v>0</v>
      </c>
      <c r="P212" s="1">
        <f t="shared" si="49"/>
        <v>0.7</v>
      </c>
      <c r="Q212" s="1">
        <f t="shared" si="58"/>
        <v>0.7</v>
      </c>
      <c r="R212" s="1">
        <f t="shared" si="50"/>
        <v>0</v>
      </c>
      <c r="S212" s="1">
        <f t="shared" si="51"/>
        <v>0</v>
      </c>
      <c r="T212" s="1">
        <f t="shared" si="52"/>
        <v>0</v>
      </c>
      <c r="U212" s="1">
        <f t="shared" si="53"/>
        <v>0</v>
      </c>
      <c r="V212" s="1">
        <f t="shared" si="59"/>
        <v>0</v>
      </c>
      <c r="W212" s="1">
        <f t="shared" si="54"/>
        <v>0</v>
      </c>
      <c r="X212" s="1">
        <f t="shared" si="55"/>
        <v>0</v>
      </c>
      <c r="Y212" s="1">
        <f t="shared" si="56"/>
        <v>0</v>
      </c>
      <c r="Z212" s="1">
        <f t="shared" si="57"/>
        <v>0</v>
      </c>
      <c r="AA212" s="1">
        <f t="shared" si="60"/>
        <v>0</v>
      </c>
    </row>
    <row r="213" spans="12:27" x14ac:dyDescent="0.3">
      <c r="L213">
        <v>212</v>
      </c>
      <c r="M213" s="1">
        <f t="shared" si="46"/>
        <v>0</v>
      </c>
      <c r="N213" s="1">
        <f t="shared" si="47"/>
        <v>0</v>
      </c>
      <c r="O213" s="1">
        <f t="shared" si="48"/>
        <v>0</v>
      </c>
      <c r="P213" s="1">
        <f t="shared" si="49"/>
        <v>0.67999999999999994</v>
      </c>
      <c r="Q213" s="1">
        <f t="shared" si="58"/>
        <v>0.67999999999999994</v>
      </c>
      <c r="R213" s="1">
        <f t="shared" si="50"/>
        <v>0</v>
      </c>
      <c r="S213" s="1">
        <f t="shared" si="51"/>
        <v>0</v>
      </c>
      <c r="T213" s="1">
        <f t="shared" si="52"/>
        <v>0</v>
      </c>
      <c r="U213" s="1">
        <f t="shared" si="53"/>
        <v>0</v>
      </c>
      <c r="V213" s="1">
        <f t="shared" si="59"/>
        <v>0</v>
      </c>
      <c r="W213" s="1">
        <f t="shared" si="54"/>
        <v>0</v>
      </c>
      <c r="X213" s="1">
        <f t="shared" si="55"/>
        <v>0</v>
      </c>
      <c r="Y213" s="1">
        <f t="shared" si="56"/>
        <v>0</v>
      </c>
      <c r="Z213" s="1">
        <f t="shared" si="57"/>
        <v>0</v>
      </c>
      <c r="AA213" s="1">
        <f t="shared" si="60"/>
        <v>0</v>
      </c>
    </row>
    <row r="214" spans="12:27" x14ac:dyDescent="0.3">
      <c r="L214">
        <v>213</v>
      </c>
      <c r="M214" s="1">
        <f t="shared" si="46"/>
        <v>0</v>
      </c>
      <c r="N214" s="1">
        <f t="shared" si="47"/>
        <v>0</v>
      </c>
      <c r="O214" s="1">
        <f t="shared" si="48"/>
        <v>0</v>
      </c>
      <c r="P214" s="1">
        <f t="shared" si="49"/>
        <v>0.65999999999999992</v>
      </c>
      <c r="Q214" s="1">
        <f t="shared" si="58"/>
        <v>0.65999999999999992</v>
      </c>
      <c r="R214" s="1">
        <f t="shared" si="50"/>
        <v>0</v>
      </c>
      <c r="S214" s="1">
        <f t="shared" si="51"/>
        <v>0</v>
      </c>
      <c r="T214" s="1">
        <f t="shared" si="52"/>
        <v>0</v>
      </c>
      <c r="U214" s="1">
        <f t="shared" si="53"/>
        <v>0</v>
      </c>
      <c r="V214" s="1">
        <f t="shared" si="59"/>
        <v>0</v>
      </c>
      <c r="W214" s="1">
        <f t="shared" si="54"/>
        <v>0</v>
      </c>
      <c r="X214" s="1">
        <f t="shared" si="55"/>
        <v>0</v>
      </c>
      <c r="Y214" s="1">
        <f t="shared" si="56"/>
        <v>0</v>
      </c>
      <c r="Z214" s="1">
        <f t="shared" si="57"/>
        <v>0</v>
      </c>
      <c r="AA214" s="1">
        <f t="shared" si="60"/>
        <v>0</v>
      </c>
    </row>
    <row r="215" spans="12:27" x14ac:dyDescent="0.3">
      <c r="L215">
        <v>214</v>
      </c>
      <c r="M215" s="1">
        <f t="shared" si="46"/>
        <v>0</v>
      </c>
      <c r="N215" s="1">
        <f t="shared" si="47"/>
        <v>0</v>
      </c>
      <c r="O215" s="1">
        <f t="shared" si="48"/>
        <v>0</v>
      </c>
      <c r="P215" s="1">
        <f t="shared" si="49"/>
        <v>0.64</v>
      </c>
      <c r="Q215" s="1">
        <f t="shared" si="58"/>
        <v>0.64</v>
      </c>
      <c r="R215" s="1">
        <f t="shared" si="50"/>
        <v>0</v>
      </c>
      <c r="S215" s="1">
        <f t="shared" si="51"/>
        <v>0</v>
      </c>
      <c r="T215" s="1">
        <f t="shared" si="52"/>
        <v>0</v>
      </c>
      <c r="U215" s="1">
        <f t="shared" si="53"/>
        <v>0</v>
      </c>
      <c r="V215" s="1">
        <f t="shared" si="59"/>
        <v>0</v>
      </c>
      <c r="W215" s="1">
        <f t="shared" si="54"/>
        <v>0</v>
      </c>
      <c r="X215" s="1">
        <f t="shared" si="55"/>
        <v>0</v>
      </c>
      <c r="Y215" s="1">
        <f t="shared" si="56"/>
        <v>0</v>
      </c>
      <c r="Z215" s="1">
        <f t="shared" si="57"/>
        <v>0</v>
      </c>
      <c r="AA215" s="1">
        <f t="shared" si="60"/>
        <v>0</v>
      </c>
    </row>
    <row r="216" spans="12:27" x14ac:dyDescent="0.3">
      <c r="L216">
        <v>215</v>
      </c>
      <c r="M216" s="1">
        <f t="shared" si="46"/>
        <v>0</v>
      </c>
      <c r="N216" s="1">
        <f t="shared" si="47"/>
        <v>0</v>
      </c>
      <c r="O216" s="1">
        <f t="shared" si="48"/>
        <v>0</v>
      </c>
      <c r="P216" s="1">
        <f t="shared" si="49"/>
        <v>0.62</v>
      </c>
      <c r="Q216" s="1">
        <f t="shared" si="58"/>
        <v>0.62</v>
      </c>
      <c r="R216" s="1">
        <f t="shared" si="50"/>
        <v>0</v>
      </c>
      <c r="S216" s="1">
        <f t="shared" si="51"/>
        <v>0</v>
      </c>
      <c r="T216" s="1">
        <f t="shared" si="52"/>
        <v>0</v>
      </c>
      <c r="U216" s="1">
        <f t="shared" si="53"/>
        <v>0</v>
      </c>
      <c r="V216" s="1">
        <f t="shared" si="59"/>
        <v>0</v>
      </c>
      <c r="W216" s="1">
        <f t="shared" si="54"/>
        <v>0</v>
      </c>
      <c r="X216" s="1">
        <f t="shared" si="55"/>
        <v>0</v>
      </c>
      <c r="Y216" s="1">
        <f t="shared" si="56"/>
        <v>0</v>
      </c>
      <c r="Z216" s="1">
        <f t="shared" si="57"/>
        <v>0</v>
      </c>
      <c r="AA216" s="1">
        <f t="shared" si="60"/>
        <v>0</v>
      </c>
    </row>
    <row r="217" spans="12:27" x14ac:dyDescent="0.3">
      <c r="L217">
        <v>216</v>
      </c>
      <c r="M217" s="1">
        <f t="shared" si="46"/>
        <v>0</v>
      </c>
      <c r="N217" s="1">
        <f t="shared" si="47"/>
        <v>0</v>
      </c>
      <c r="O217" s="1">
        <f t="shared" si="48"/>
        <v>0</v>
      </c>
      <c r="P217" s="1">
        <f t="shared" si="49"/>
        <v>0.6</v>
      </c>
      <c r="Q217" s="1">
        <f t="shared" si="58"/>
        <v>0.6</v>
      </c>
      <c r="R217" s="1">
        <f t="shared" si="50"/>
        <v>0</v>
      </c>
      <c r="S217" s="1">
        <f t="shared" si="51"/>
        <v>0</v>
      </c>
      <c r="T217" s="1">
        <f t="shared" si="52"/>
        <v>0</v>
      </c>
      <c r="U217" s="1">
        <f t="shared" si="53"/>
        <v>0</v>
      </c>
      <c r="V217" s="1">
        <f t="shared" si="59"/>
        <v>0</v>
      </c>
      <c r="W217" s="1">
        <f t="shared" si="54"/>
        <v>0</v>
      </c>
      <c r="X217" s="1">
        <f t="shared" si="55"/>
        <v>0</v>
      </c>
      <c r="Y217" s="1">
        <f t="shared" si="56"/>
        <v>0</v>
      </c>
      <c r="Z217" s="1">
        <f t="shared" si="57"/>
        <v>0</v>
      </c>
      <c r="AA217" s="1">
        <f t="shared" si="60"/>
        <v>0</v>
      </c>
    </row>
    <row r="218" spans="12:27" x14ac:dyDescent="0.3">
      <c r="L218">
        <v>217</v>
      </c>
      <c r="M218" s="1">
        <f t="shared" si="46"/>
        <v>0</v>
      </c>
      <c r="N218" s="1">
        <f t="shared" si="47"/>
        <v>0</v>
      </c>
      <c r="O218" s="1">
        <f t="shared" si="48"/>
        <v>0</v>
      </c>
      <c r="P218" s="1">
        <f t="shared" si="49"/>
        <v>0</v>
      </c>
      <c r="Q218" s="1">
        <f t="shared" si="58"/>
        <v>0</v>
      </c>
      <c r="R218" s="1">
        <f t="shared" si="50"/>
        <v>0</v>
      </c>
      <c r="S218" s="1">
        <f t="shared" si="51"/>
        <v>0</v>
      </c>
      <c r="T218" s="1">
        <f t="shared" si="52"/>
        <v>0</v>
      </c>
      <c r="U218" s="1">
        <f t="shared" si="53"/>
        <v>0</v>
      </c>
      <c r="V218" s="1">
        <f t="shared" si="59"/>
        <v>0</v>
      </c>
      <c r="W218" s="1">
        <f t="shared" si="54"/>
        <v>0</v>
      </c>
      <c r="X218" s="1">
        <f t="shared" si="55"/>
        <v>0</v>
      </c>
      <c r="Y218" s="1">
        <f t="shared" si="56"/>
        <v>0</v>
      </c>
      <c r="Z218" s="1">
        <f t="shared" si="57"/>
        <v>0</v>
      </c>
      <c r="AA218" s="1">
        <f t="shared" si="60"/>
        <v>0</v>
      </c>
    </row>
    <row r="219" spans="12:27" x14ac:dyDescent="0.3">
      <c r="L219">
        <v>218</v>
      </c>
      <c r="M219" s="1">
        <f t="shared" si="46"/>
        <v>0</v>
      </c>
      <c r="N219" s="1">
        <f t="shared" si="47"/>
        <v>0</v>
      </c>
      <c r="O219" s="1">
        <f t="shared" si="48"/>
        <v>0</v>
      </c>
      <c r="P219" s="1">
        <f t="shared" si="49"/>
        <v>0</v>
      </c>
      <c r="Q219" s="1">
        <f t="shared" si="58"/>
        <v>0</v>
      </c>
      <c r="R219" s="1">
        <f t="shared" si="50"/>
        <v>0</v>
      </c>
      <c r="S219" s="1">
        <f t="shared" si="51"/>
        <v>0</v>
      </c>
      <c r="T219" s="1">
        <f t="shared" si="52"/>
        <v>0</v>
      </c>
      <c r="U219" s="1">
        <f t="shared" si="53"/>
        <v>0</v>
      </c>
      <c r="V219" s="1">
        <f t="shared" si="59"/>
        <v>0</v>
      </c>
      <c r="W219" s="1">
        <f t="shared" si="54"/>
        <v>0</v>
      </c>
      <c r="X219" s="1">
        <f t="shared" si="55"/>
        <v>0</v>
      </c>
      <c r="Y219" s="1">
        <f t="shared" si="56"/>
        <v>0</v>
      </c>
      <c r="Z219" s="1">
        <f t="shared" si="57"/>
        <v>0</v>
      </c>
      <c r="AA219" s="1">
        <f t="shared" si="60"/>
        <v>0</v>
      </c>
    </row>
    <row r="220" spans="12:27" x14ac:dyDescent="0.3">
      <c r="L220">
        <v>219</v>
      </c>
      <c r="M220" s="1">
        <f t="shared" si="46"/>
        <v>0</v>
      </c>
      <c r="N220" s="1">
        <f t="shared" si="47"/>
        <v>0</v>
      </c>
      <c r="O220" s="1">
        <f t="shared" si="48"/>
        <v>0</v>
      </c>
      <c r="P220" s="1">
        <f t="shared" si="49"/>
        <v>0</v>
      </c>
      <c r="Q220" s="1">
        <f t="shared" si="58"/>
        <v>0</v>
      </c>
      <c r="R220" s="1">
        <f t="shared" si="50"/>
        <v>0</v>
      </c>
      <c r="S220" s="1">
        <f t="shared" si="51"/>
        <v>0</v>
      </c>
      <c r="T220" s="1">
        <f t="shared" si="52"/>
        <v>0</v>
      </c>
      <c r="U220" s="1">
        <f t="shared" si="53"/>
        <v>0</v>
      </c>
      <c r="V220" s="1">
        <f t="shared" si="59"/>
        <v>0</v>
      </c>
      <c r="W220" s="1">
        <f t="shared" si="54"/>
        <v>0</v>
      </c>
      <c r="X220" s="1">
        <f t="shared" si="55"/>
        <v>0</v>
      </c>
      <c r="Y220" s="1">
        <f t="shared" si="56"/>
        <v>0</v>
      </c>
      <c r="Z220" s="1">
        <f t="shared" si="57"/>
        <v>0</v>
      </c>
      <c r="AA220" s="1">
        <f t="shared" si="60"/>
        <v>0</v>
      </c>
    </row>
    <row r="221" spans="12:27" x14ac:dyDescent="0.3">
      <c r="L221">
        <v>220</v>
      </c>
      <c r="M221" s="1">
        <f t="shared" si="46"/>
        <v>0</v>
      </c>
      <c r="N221" s="1">
        <f t="shared" si="47"/>
        <v>0</v>
      </c>
      <c r="O221" s="1">
        <f t="shared" si="48"/>
        <v>0</v>
      </c>
      <c r="P221" s="1">
        <f t="shared" si="49"/>
        <v>0</v>
      </c>
      <c r="Q221" s="1">
        <f t="shared" si="58"/>
        <v>0</v>
      </c>
      <c r="R221" s="1">
        <f t="shared" si="50"/>
        <v>0</v>
      </c>
      <c r="S221" s="1">
        <f t="shared" si="51"/>
        <v>0</v>
      </c>
      <c r="T221" s="1">
        <f t="shared" si="52"/>
        <v>0</v>
      </c>
      <c r="U221" s="1">
        <f t="shared" si="53"/>
        <v>0</v>
      </c>
      <c r="V221" s="1">
        <f t="shared" si="59"/>
        <v>0</v>
      </c>
      <c r="W221" s="1">
        <f t="shared" si="54"/>
        <v>0</v>
      </c>
      <c r="X221" s="1">
        <f t="shared" si="55"/>
        <v>0</v>
      </c>
      <c r="Y221" s="1">
        <f t="shared" si="56"/>
        <v>0</v>
      </c>
      <c r="Z221" s="1">
        <f t="shared" si="57"/>
        <v>0</v>
      </c>
      <c r="AA221" s="1">
        <f t="shared" si="60"/>
        <v>0</v>
      </c>
    </row>
    <row r="222" spans="12:27" x14ac:dyDescent="0.3">
      <c r="L222">
        <v>221</v>
      </c>
      <c r="M222" s="1">
        <f t="shared" si="46"/>
        <v>0</v>
      </c>
      <c r="N222" s="1">
        <f t="shared" si="47"/>
        <v>0</v>
      </c>
      <c r="O222" s="1">
        <f t="shared" si="48"/>
        <v>0</v>
      </c>
      <c r="P222" s="1">
        <f t="shared" si="49"/>
        <v>0</v>
      </c>
      <c r="Q222" s="1">
        <f t="shared" si="58"/>
        <v>0</v>
      </c>
      <c r="R222" s="1">
        <f t="shared" si="50"/>
        <v>0</v>
      </c>
      <c r="S222" s="1">
        <f t="shared" si="51"/>
        <v>0</v>
      </c>
      <c r="T222" s="1">
        <f t="shared" si="52"/>
        <v>0</v>
      </c>
      <c r="U222" s="1">
        <f t="shared" si="53"/>
        <v>0</v>
      </c>
      <c r="V222" s="1">
        <f t="shared" si="59"/>
        <v>0</v>
      </c>
      <c r="W222" s="1">
        <f t="shared" si="54"/>
        <v>0</v>
      </c>
      <c r="X222" s="1">
        <f t="shared" si="55"/>
        <v>0</v>
      </c>
      <c r="Y222" s="1">
        <f t="shared" si="56"/>
        <v>0</v>
      </c>
      <c r="Z222" s="1">
        <f t="shared" si="57"/>
        <v>0</v>
      </c>
      <c r="AA222" s="1">
        <f t="shared" si="60"/>
        <v>0</v>
      </c>
    </row>
    <row r="223" spans="12:27" x14ac:dyDescent="0.3">
      <c r="L223">
        <v>222</v>
      </c>
      <c r="M223" s="1">
        <f t="shared" si="46"/>
        <v>0</v>
      </c>
      <c r="N223" s="1">
        <f t="shared" si="47"/>
        <v>0</v>
      </c>
      <c r="O223" s="1">
        <f t="shared" si="48"/>
        <v>0</v>
      </c>
      <c r="P223" s="1">
        <f t="shared" si="49"/>
        <v>0</v>
      </c>
      <c r="Q223" s="1">
        <f t="shared" si="58"/>
        <v>0</v>
      </c>
      <c r="R223" s="1">
        <f t="shared" si="50"/>
        <v>0</v>
      </c>
      <c r="S223" s="1">
        <f t="shared" si="51"/>
        <v>0</v>
      </c>
      <c r="T223" s="1">
        <f t="shared" si="52"/>
        <v>0</v>
      </c>
      <c r="U223" s="1">
        <f t="shared" si="53"/>
        <v>0</v>
      </c>
      <c r="V223" s="1">
        <f t="shared" si="59"/>
        <v>0</v>
      </c>
      <c r="W223" s="1">
        <f t="shared" si="54"/>
        <v>0</v>
      </c>
      <c r="X223" s="1">
        <f t="shared" si="55"/>
        <v>0</v>
      </c>
      <c r="Y223" s="1">
        <f t="shared" si="56"/>
        <v>0</v>
      </c>
      <c r="Z223" s="1">
        <f t="shared" si="57"/>
        <v>0</v>
      </c>
      <c r="AA223" s="1">
        <f t="shared" si="60"/>
        <v>0</v>
      </c>
    </row>
    <row r="224" spans="12:27" x14ac:dyDescent="0.3">
      <c r="L224">
        <v>223</v>
      </c>
      <c r="M224" s="1">
        <f t="shared" si="46"/>
        <v>0</v>
      </c>
      <c r="N224" s="1">
        <f t="shared" si="47"/>
        <v>0</v>
      </c>
      <c r="O224" s="1">
        <f t="shared" si="48"/>
        <v>0</v>
      </c>
      <c r="P224" s="1">
        <f t="shared" si="49"/>
        <v>0</v>
      </c>
      <c r="Q224" s="1">
        <f t="shared" si="58"/>
        <v>0</v>
      </c>
      <c r="R224" s="1">
        <f t="shared" si="50"/>
        <v>0</v>
      </c>
      <c r="S224" s="1">
        <f t="shared" si="51"/>
        <v>0</v>
      </c>
      <c r="T224" s="1">
        <f t="shared" si="52"/>
        <v>0</v>
      </c>
      <c r="U224" s="1">
        <f t="shared" si="53"/>
        <v>0</v>
      </c>
      <c r="V224" s="1">
        <f t="shared" si="59"/>
        <v>0</v>
      </c>
      <c r="W224" s="1">
        <f t="shared" si="54"/>
        <v>0</v>
      </c>
      <c r="X224" s="1">
        <f t="shared" si="55"/>
        <v>0</v>
      </c>
      <c r="Y224" s="1">
        <f t="shared" si="56"/>
        <v>0</v>
      </c>
      <c r="Z224" s="1">
        <f t="shared" si="57"/>
        <v>0</v>
      </c>
      <c r="AA224" s="1">
        <f t="shared" si="60"/>
        <v>0</v>
      </c>
    </row>
    <row r="225" spans="12:27" x14ac:dyDescent="0.3">
      <c r="L225">
        <v>224</v>
      </c>
      <c r="M225" s="1">
        <f t="shared" si="46"/>
        <v>0</v>
      </c>
      <c r="N225" s="1">
        <f t="shared" si="47"/>
        <v>0</v>
      </c>
      <c r="O225" s="1">
        <f t="shared" si="48"/>
        <v>0</v>
      </c>
      <c r="P225" s="1">
        <f t="shared" si="49"/>
        <v>0</v>
      </c>
      <c r="Q225" s="1">
        <f t="shared" si="58"/>
        <v>0</v>
      </c>
      <c r="R225" s="1">
        <f t="shared" si="50"/>
        <v>0</v>
      </c>
      <c r="S225" s="1">
        <f t="shared" si="51"/>
        <v>0</v>
      </c>
      <c r="T225" s="1">
        <f t="shared" si="52"/>
        <v>0</v>
      </c>
      <c r="U225" s="1">
        <f t="shared" si="53"/>
        <v>0</v>
      </c>
      <c r="V225" s="1">
        <f t="shared" si="59"/>
        <v>0</v>
      </c>
      <c r="W225" s="1">
        <f t="shared" si="54"/>
        <v>0</v>
      </c>
      <c r="X225" s="1">
        <f t="shared" si="55"/>
        <v>0</v>
      </c>
      <c r="Y225" s="1">
        <f t="shared" si="56"/>
        <v>0</v>
      </c>
      <c r="Z225" s="1">
        <f t="shared" si="57"/>
        <v>0</v>
      </c>
      <c r="AA225" s="1">
        <f t="shared" si="60"/>
        <v>0</v>
      </c>
    </row>
    <row r="226" spans="12:27" x14ac:dyDescent="0.3">
      <c r="L226">
        <v>225</v>
      </c>
      <c r="M226" s="1">
        <f t="shared" si="46"/>
        <v>0</v>
      </c>
      <c r="N226" s="1">
        <f t="shared" si="47"/>
        <v>0</v>
      </c>
      <c r="O226" s="1">
        <f t="shared" si="48"/>
        <v>0</v>
      </c>
      <c r="P226" s="1">
        <f t="shared" si="49"/>
        <v>0</v>
      </c>
      <c r="Q226" s="1">
        <f t="shared" si="58"/>
        <v>0</v>
      </c>
      <c r="R226" s="1">
        <f t="shared" si="50"/>
        <v>0</v>
      </c>
      <c r="S226" s="1">
        <f t="shared" si="51"/>
        <v>0</v>
      </c>
      <c r="T226" s="1">
        <f t="shared" si="52"/>
        <v>0</v>
      </c>
      <c r="U226" s="1">
        <f t="shared" si="53"/>
        <v>0</v>
      </c>
      <c r="V226" s="1">
        <f t="shared" si="59"/>
        <v>0</v>
      </c>
      <c r="W226" s="1">
        <f t="shared" si="54"/>
        <v>0</v>
      </c>
      <c r="X226" s="1">
        <f t="shared" si="55"/>
        <v>0</v>
      </c>
      <c r="Y226" s="1">
        <f t="shared" si="56"/>
        <v>0</v>
      </c>
      <c r="Z226" s="1">
        <f t="shared" si="57"/>
        <v>0</v>
      </c>
      <c r="AA226" s="1">
        <f t="shared" si="60"/>
        <v>0</v>
      </c>
    </row>
    <row r="227" spans="12:27" x14ac:dyDescent="0.3">
      <c r="L227">
        <v>226</v>
      </c>
      <c r="M227" s="1">
        <f t="shared" si="46"/>
        <v>0</v>
      </c>
      <c r="N227" s="1">
        <f t="shared" si="47"/>
        <v>0</v>
      </c>
      <c r="O227" s="1">
        <f t="shared" si="48"/>
        <v>0</v>
      </c>
      <c r="P227" s="1">
        <f t="shared" si="49"/>
        <v>0</v>
      </c>
      <c r="Q227" s="1">
        <f t="shared" si="58"/>
        <v>0</v>
      </c>
      <c r="R227" s="1">
        <f t="shared" si="50"/>
        <v>0</v>
      </c>
      <c r="S227" s="1">
        <f t="shared" si="51"/>
        <v>0</v>
      </c>
      <c r="T227" s="1">
        <f t="shared" si="52"/>
        <v>0</v>
      </c>
      <c r="U227" s="1">
        <f t="shared" si="53"/>
        <v>0</v>
      </c>
      <c r="V227" s="1">
        <f t="shared" si="59"/>
        <v>0</v>
      </c>
      <c r="W227" s="1">
        <f t="shared" si="54"/>
        <v>0</v>
      </c>
      <c r="X227" s="1">
        <f t="shared" si="55"/>
        <v>0</v>
      </c>
      <c r="Y227" s="1">
        <f t="shared" si="56"/>
        <v>0</v>
      </c>
      <c r="Z227" s="1">
        <f t="shared" si="57"/>
        <v>0</v>
      </c>
      <c r="AA227" s="1">
        <f t="shared" si="60"/>
        <v>0</v>
      </c>
    </row>
    <row r="228" spans="12:27" x14ac:dyDescent="0.3">
      <c r="L228">
        <v>227</v>
      </c>
      <c r="M228" s="1">
        <f t="shared" si="46"/>
        <v>0</v>
      </c>
      <c r="N228" s="1">
        <f t="shared" si="47"/>
        <v>0</v>
      </c>
      <c r="O228" s="1">
        <f t="shared" si="48"/>
        <v>0</v>
      </c>
      <c r="P228" s="1">
        <f t="shared" si="49"/>
        <v>0</v>
      </c>
      <c r="Q228" s="1">
        <f t="shared" si="58"/>
        <v>0</v>
      </c>
      <c r="R228" s="1">
        <f t="shared" si="50"/>
        <v>0</v>
      </c>
      <c r="S228" s="1">
        <f t="shared" si="51"/>
        <v>0</v>
      </c>
      <c r="T228" s="1">
        <f t="shared" si="52"/>
        <v>0</v>
      </c>
      <c r="U228" s="1">
        <f t="shared" si="53"/>
        <v>0</v>
      </c>
      <c r="V228" s="1">
        <f t="shared" si="59"/>
        <v>0</v>
      </c>
      <c r="W228" s="1">
        <f t="shared" si="54"/>
        <v>0</v>
      </c>
      <c r="X228" s="1">
        <f t="shared" si="55"/>
        <v>0</v>
      </c>
      <c r="Y228" s="1">
        <f t="shared" si="56"/>
        <v>0</v>
      </c>
      <c r="Z228" s="1">
        <f t="shared" si="57"/>
        <v>0</v>
      </c>
      <c r="AA228" s="1">
        <f t="shared" si="60"/>
        <v>0</v>
      </c>
    </row>
    <row r="229" spans="12:27" x14ac:dyDescent="0.3">
      <c r="L229">
        <v>228</v>
      </c>
      <c r="M229" s="1">
        <f t="shared" si="46"/>
        <v>0</v>
      </c>
      <c r="N229" s="1">
        <f t="shared" si="47"/>
        <v>0</v>
      </c>
      <c r="O229" s="1">
        <f t="shared" si="48"/>
        <v>0</v>
      </c>
      <c r="P229" s="1">
        <f t="shared" si="49"/>
        <v>0</v>
      </c>
      <c r="Q229" s="1">
        <f t="shared" si="58"/>
        <v>0</v>
      </c>
      <c r="R229" s="1">
        <f t="shared" si="50"/>
        <v>0</v>
      </c>
      <c r="S229" s="1">
        <f t="shared" si="51"/>
        <v>0</v>
      </c>
      <c r="T229" s="1">
        <f t="shared" si="52"/>
        <v>0</v>
      </c>
      <c r="U229" s="1">
        <f t="shared" si="53"/>
        <v>0</v>
      </c>
      <c r="V229" s="1">
        <f t="shared" si="59"/>
        <v>0</v>
      </c>
      <c r="W229" s="1">
        <f t="shared" si="54"/>
        <v>0</v>
      </c>
      <c r="X229" s="1">
        <f t="shared" si="55"/>
        <v>0</v>
      </c>
      <c r="Y229" s="1">
        <f t="shared" si="56"/>
        <v>0</v>
      </c>
      <c r="Z229" s="1">
        <f t="shared" si="57"/>
        <v>0</v>
      </c>
      <c r="AA229" s="1">
        <f t="shared" si="60"/>
        <v>0</v>
      </c>
    </row>
    <row r="230" spans="12:27" x14ac:dyDescent="0.3">
      <c r="L230">
        <v>229</v>
      </c>
      <c r="M230" s="1">
        <f t="shared" si="46"/>
        <v>0</v>
      </c>
      <c r="N230" s="1">
        <f t="shared" si="47"/>
        <v>0</v>
      </c>
      <c r="O230" s="1">
        <f t="shared" si="48"/>
        <v>0</v>
      </c>
      <c r="P230" s="1">
        <f t="shared" si="49"/>
        <v>0</v>
      </c>
      <c r="Q230" s="1">
        <f t="shared" si="58"/>
        <v>0</v>
      </c>
      <c r="R230" s="1">
        <f t="shared" si="50"/>
        <v>0</v>
      </c>
      <c r="S230" s="1">
        <f t="shared" si="51"/>
        <v>0</v>
      </c>
      <c r="T230" s="1">
        <f t="shared" si="52"/>
        <v>0</v>
      </c>
      <c r="U230" s="1">
        <f t="shared" si="53"/>
        <v>0</v>
      </c>
      <c r="V230" s="1">
        <f t="shared" si="59"/>
        <v>0</v>
      </c>
      <c r="W230" s="1">
        <f t="shared" si="54"/>
        <v>0</v>
      </c>
      <c r="X230" s="1">
        <f t="shared" si="55"/>
        <v>0</v>
      </c>
      <c r="Y230" s="1">
        <f t="shared" si="56"/>
        <v>0</v>
      </c>
      <c r="Z230" s="1">
        <f t="shared" si="57"/>
        <v>0</v>
      </c>
      <c r="AA230" s="1">
        <f t="shared" si="60"/>
        <v>0</v>
      </c>
    </row>
    <row r="231" spans="12:27" x14ac:dyDescent="0.3">
      <c r="L231">
        <v>230</v>
      </c>
      <c r="M231" s="1">
        <f t="shared" si="46"/>
        <v>0</v>
      </c>
      <c r="N231" s="1">
        <f t="shared" si="47"/>
        <v>0</v>
      </c>
      <c r="O231" s="1">
        <f t="shared" si="48"/>
        <v>0</v>
      </c>
      <c r="P231" s="1">
        <f t="shared" si="49"/>
        <v>0</v>
      </c>
      <c r="Q231" s="1">
        <f t="shared" si="58"/>
        <v>0</v>
      </c>
      <c r="R231" s="1">
        <f t="shared" si="50"/>
        <v>0</v>
      </c>
      <c r="S231" s="1">
        <f t="shared" si="51"/>
        <v>0</v>
      </c>
      <c r="T231" s="1">
        <f t="shared" si="52"/>
        <v>0</v>
      </c>
      <c r="U231" s="1">
        <f t="shared" si="53"/>
        <v>0</v>
      </c>
      <c r="V231" s="1">
        <f t="shared" si="59"/>
        <v>0</v>
      </c>
      <c r="W231" s="1">
        <f t="shared" si="54"/>
        <v>0</v>
      </c>
      <c r="X231" s="1">
        <f t="shared" si="55"/>
        <v>0</v>
      </c>
      <c r="Y231" s="1">
        <f t="shared" si="56"/>
        <v>0</v>
      </c>
      <c r="Z231" s="1">
        <f t="shared" si="57"/>
        <v>0</v>
      </c>
      <c r="AA231" s="1">
        <f t="shared" si="60"/>
        <v>0</v>
      </c>
    </row>
    <row r="232" spans="12:27" x14ac:dyDescent="0.3">
      <c r="L232">
        <v>231</v>
      </c>
      <c r="M232" s="1">
        <f t="shared" si="46"/>
        <v>0</v>
      </c>
      <c r="N232" s="1">
        <f t="shared" si="47"/>
        <v>0</v>
      </c>
      <c r="O232" s="1">
        <f t="shared" si="48"/>
        <v>0</v>
      </c>
      <c r="P232" s="1">
        <f t="shared" si="49"/>
        <v>0</v>
      </c>
      <c r="Q232" s="1">
        <f t="shared" si="58"/>
        <v>0</v>
      </c>
      <c r="R232" s="1">
        <f t="shared" si="50"/>
        <v>0</v>
      </c>
      <c r="S232" s="1">
        <f t="shared" si="51"/>
        <v>0</v>
      </c>
      <c r="T232" s="1">
        <f t="shared" si="52"/>
        <v>0</v>
      </c>
      <c r="U232" s="1">
        <f t="shared" si="53"/>
        <v>0</v>
      </c>
      <c r="V232" s="1">
        <f t="shared" si="59"/>
        <v>0</v>
      </c>
      <c r="W232" s="1">
        <f t="shared" si="54"/>
        <v>0</v>
      </c>
      <c r="X232" s="1">
        <f t="shared" si="55"/>
        <v>0</v>
      </c>
      <c r="Y232" s="1">
        <f t="shared" si="56"/>
        <v>0</v>
      </c>
      <c r="Z232" s="1">
        <f t="shared" si="57"/>
        <v>0</v>
      </c>
      <c r="AA232" s="1">
        <f t="shared" si="60"/>
        <v>0</v>
      </c>
    </row>
    <row r="233" spans="12:27" x14ac:dyDescent="0.3">
      <c r="L233">
        <v>232</v>
      </c>
      <c r="M233" s="1">
        <f t="shared" si="46"/>
        <v>0</v>
      </c>
      <c r="N233" s="1">
        <f t="shared" si="47"/>
        <v>0</v>
      </c>
      <c r="O233" s="1">
        <f t="shared" si="48"/>
        <v>0</v>
      </c>
      <c r="P233" s="1">
        <f t="shared" si="49"/>
        <v>0</v>
      </c>
      <c r="Q233" s="1">
        <f t="shared" si="58"/>
        <v>0</v>
      </c>
      <c r="R233" s="1">
        <f t="shared" si="50"/>
        <v>0</v>
      </c>
      <c r="S233" s="1">
        <f t="shared" si="51"/>
        <v>0</v>
      </c>
      <c r="T233" s="1">
        <f t="shared" si="52"/>
        <v>0</v>
      </c>
      <c r="U233" s="1">
        <f t="shared" si="53"/>
        <v>0</v>
      </c>
      <c r="V233" s="1">
        <f t="shared" si="59"/>
        <v>0</v>
      </c>
      <c r="W233" s="1">
        <f t="shared" si="54"/>
        <v>0</v>
      </c>
      <c r="X233" s="1">
        <f t="shared" si="55"/>
        <v>0</v>
      </c>
      <c r="Y233" s="1">
        <f t="shared" si="56"/>
        <v>0</v>
      </c>
      <c r="Z233" s="1">
        <f t="shared" si="57"/>
        <v>0</v>
      </c>
      <c r="AA233" s="1">
        <f t="shared" si="60"/>
        <v>0</v>
      </c>
    </row>
    <row r="234" spans="12:27" x14ac:dyDescent="0.3">
      <c r="L234">
        <v>233</v>
      </c>
      <c r="M234" s="1">
        <f t="shared" si="46"/>
        <v>0</v>
      </c>
      <c r="N234" s="1">
        <f t="shared" si="47"/>
        <v>0</v>
      </c>
      <c r="O234" s="1">
        <f t="shared" si="48"/>
        <v>0</v>
      </c>
      <c r="P234" s="1">
        <f t="shared" si="49"/>
        <v>0</v>
      </c>
      <c r="Q234" s="1">
        <f t="shared" si="58"/>
        <v>0</v>
      </c>
      <c r="R234" s="1">
        <f t="shared" si="50"/>
        <v>0</v>
      </c>
      <c r="S234" s="1">
        <f t="shared" si="51"/>
        <v>0</v>
      </c>
      <c r="T234" s="1">
        <f t="shared" si="52"/>
        <v>0</v>
      </c>
      <c r="U234" s="1">
        <f t="shared" si="53"/>
        <v>0</v>
      </c>
      <c r="V234" s="1">
        <f t="shared" si="59"/>
        <v>0</v>
      </c>
      <c r="W234" s="1">
        <f t="shared" si="54"/>
        <v>0</v>
      </c>
      <c r="X234" s="1">
        <f t="shared" si="55"/>
        <v>0</v>
      </c>
      <c r="Y234" s="1">
        <f t="shared" si="56"/>
        <v>0</v>
      </c>
      <c r="Z234" s="1">
        <f t="shared" si="57"/>
        <v>0</v>
      </c>
      <c r="AA234" s="1">
        <f t="shared" si="60"/>
        <v>0</v>
      </c>
    </row>
    <row r="235" spans="12:27" x14ac:dyDescent="0.3">
      <c r="L235">
        <v>234</v>
      </c>
      <c r="M235" s="1">
        <f t="shared" si="46"/>
        <v>0</v>
      </c>
      <c r="N235" s="1">
        <f t="shared" si="47"/>
        <v>0</v>
      </c>
      <c r="O235" s="1">
        <f t="shared" si="48"/>
        <v>0</v>
      </c>
      <c r="P235" s="1">
        <f t="shared" si="49"/>
        <v>0</v>
      </c>
      <c r="Q235" s="1">
        <f t="shared" si="58"/>
        <v>0</v>
      </c>
      <c r="R235" s="1">
        <f t="shared" si="50"/>
        <v>0</v>
      </c>
      <c r="S235" s="1">
        <f t="shared" si="51"/>
        <v>0</v>
      </c>
      <c r="T235" s="1">
        <f t="shared" si="52"/>
        <v>0</v>
      </c>
      <c r="U235" s="1">
        <f t="shared" si="53"/>
        <v>0</v>
      </c>
      <c r="V235" s="1">
        <f t="shared" si="59"/>
        <v>0</v>
      </c>
      <c r="W235" s="1">
        <f t="shared" si="54"/>
        <v>0</v>
      </c>
      <c r="X235" s="1">
        <f t="shared" si="55"/>
        <v>0</v>
      </c>
      <c r="Y235" s="1">
        <f t="shared" si="56"/>
        <v>0</v>
      </c>
      <c r="Z235" s="1">
        <f t="shared" si="57"/>
        <v>0</v>
      </c>
      <c r="AA235" s="1">
        <f t="shared" si="60"/>
        <v>0</v>
      </c>
    </row>
    <row r="236" spans="12:27" x14ac:dyDescent="0.3">
      <c r="L236">
        <v>235</v>
      </c>
      <c r="M236" s="1">
        <f t="shared" si="46"/>
        <v>0</v>
      </c>
      <c r="N236" s="1">
        <f t="shared" si="47"/>
        <v>0</v>
      </c>
      <c r="O236" s="1">
        <f t="shared" si="48"/>
        <v>0</v>
      </c>
      <c r="P236" s="1">
        <f t="shared" si="49"/>
        <v>0</v>
      </c>
      <c r="Q236" s="1">
        <f t="shared" si="58"/>
        <v>0</v>
      </c>
      <c r="R236" s="1">
        <f t="shared" si="50"/>
        <v>0</v>
      </c>
      <c r="S236" s="1">
        <f t="shared" si="51"/>
        <v>0</v>
      </c>
      <c r="T236" s="1">
        <f t="shared" si="52"/>
        <v>0</v>
      </c>
      <c r="U236" s="1">
        <f t="shared" si="53"/>
        <v>0</v>
      </c>
      <c r="V236" s="1">
        <f t="shared" si="59"/>
        <v>0</v>
      </c>
      <c r="W236" s="1">
        <f t="shared" si="54"/>
        <v>0</v>
      </c>
      <c r="X236" s="1">
        <f t="shared" si="55"/>
        <v>0</v>
      </c>
      <c r="Y236" s="1">
        <f t="shared" si="56"/>
        <v>0</v>
      </c>
      <c r="Z236" s="1">
        <f t="shared" si="57"/>
        <v>0</v>
      </c>
      <c r="AA236" s="1">
        <f t="shared" si="60"/>
        <v>0</v>
      </c>
    </row>
    <row r="237" spans="12:27" x14ac:dyDescent="0.3">
      <c r="L237">
        <v>236</v>
      </c>
      <c r="M237" s="1">
        <f t="shared" si="46"/>
        <v>0</v>
      </c>
      <c r="N237" s="1">
        <f t="shared" si="47"/>
        <v>0</v>
      </c>
      <c r="O237" s="1">
        <f t="shared" si="48"/>
        <v>0</v>
      </c>
      <c r="P237" s="1">
        <f t="shared" si="49"/>
        <v>0</v>
      </c>
      <c r="Q237" s="1">
        <f t="shared" si="58"/>
        <v>0</v>
      </c>
      <c r="R237" s="1">
        <f t="shared" si="50"/>
        <v>0</v>
      </c>
      <c r="S237" s="1">
        <f t="shared" si="51"/>
        <v>0</v>
      </c>
      <c r="T237" s="1">
        <f t="shared" si="52"/>
        <v>0</v>
      </c>
      <c r="U237" s="1">
        <f t="shared" si="53"/>
        <v>0</v>
      </c>
      <c r="V237" s="1">
        <f t="shared" si="59"/>
        <v>0</v>
      </c>
      <c r="W237" s="1">
        <f t="shared" si="54"/>
        <v>0</v>
      </c>
      <c r="X237" s="1">
        <f t="shared" si="55"/>
        <v>0</v>
      </c>
      <c r="Y237" s="1">
        <f t="shared" si="56"/>
        <v>0</v>
      </c>
      <c r="Z237" s="1">
        <f t="shared" si="57"/>
        <v>0</v>
      </c>
      <c r="AA237" s="1">
        <f t="shared" si="60"/>
        <v>0</v>
      </c>
    </row>
    <row r="238" spans="12:27" x14ac:dyDescent="0.3">
      <c r="L238">
        <v>237</v>
      </c>
      <c r="M238" s="1">
        <f t="shared" si="46"/>
        <v>0</v>
      </c>
      <c r="N238" s="1">
        <f t="shared" si="47"/>
        <v>0</v>
      </c>
      <c r="O238" s="1">
        <f t="shared" si="48"/>
        <v>0</v>
      </c>
      <c r="P238" s="1">
        <f t="shared" si="49"/>
        <v>0</v>
      </c>
      <c r="Q238" s="1">
        <f t="shared" si="58"/>
        <v>0</v>
      </c>
      <c r="R238" s="1">
        <f t="shared" si="50"/>
        <v>0</v>
      </c>
      <c r="S238" s="1">
        <f t="shared" si="51"/>
        <v>0</v>
      </c>
      <c r="T238" s="1">
        <f t="shared" si="52"/>
        <v>0</v>
      </c>
      <c r="U238" s="1">
        <f t="shared" si="53"/>
        <v>0</v>
      </c>
      <c r="V238" s="1">
        <f t="shared" si="59"/>
        <v>0</v>
      </c>
      <c r="W238" s="1">
        <f t="shared" si="54"/>
        <v>0</v>
      </c>
      <c r="X238" s="1">
        <f t="shared" si="55"/>
        <v>0</v>
      </c>
      <c r="Y238" s="1">
        <f t="shared" si="56"/>
        <v>0</v>
      </c>
      <c r="Z238" s="1">
        <f t="shared" si="57"/>
        <v>0</v>
      </c>
      <c r="AA238" s="1">
        <f t="shared" si="60"/>
        <v>0</v>
      </c>
    </row>
    <row r="239" spans="12:27" x14ac:dyDescent="0.3">
      <c r="L239">
        <v>238</v>
      </c>
      <c r="M239" s="1">
        <f t="shared" si="46"/>
        <v>0</v>
      </c>
      <c r="N239" s="1">
        <f t="shared" si="47"/>
        <v>0</v>
      </c>
      <c r="O239" s="1">
        <f t="shared" si="48"/>
        <v>0</v>
      </c>
      <c r="P239" s="1">
        <f t="shared" si="49"/>
        <v>0</v>
      </c>
      <c r="Q239" s="1">
        <f t="shared" si="58"/>
        <v>0</v>
      </c>
      <c r="R239" s="1">
        <f t="shared" si="50"/>
        <v>0</v>
      </c>
      <c r="S239" s="1">
        <f t="shared" si="51"/>
        <v>0</v>
      </c>
      <c r="T239" s="1">
        <f t="shared" si="52"/>
        <v>0</v>
      </c>
      <c r="U239" s="1">
        <f t="shared" si="53"/>
        <v>0</v>
      </c>
      <c r="V239" s="1">
        <f t="shared" si="59"/>
        <v>0</v>
      </c>
      <c r="W239" s="1">
        <f t="shared" si="54"/>
        <v>0</v>
      </c>
      <c r="X239" s="1">
        <f t="shared" si="55"/>
        <v>0</v>
      </c>
      <c r="Y239" s="1">
        <f t="shared" si="56"/>
        <v>0</v>
      </c>
      <c r="Z239" s="1">
        <f t="shared" si="57"/>
        <v>0</v>
      </c>
      <c r="AA239" s="1">
        <f t="shared" si="60"/>
        <v>0</v>
      </c>
    </row>
    <row r="240" spans="12:27" x14ac:dyDescent="0.3">
      <c r="L240">
        <v>239</v>
      </c>
      <c r="M240" s="1">
        <f t="shared" si="46"/>
        <v>0</v>
      </c>
      <c r="N240" s="1">
        <f t="shared" si="47"/>
        <v>0</v>
      </c>
      <c r="O240" s="1">
        <f t="shared" si="48"/>
        <v>0</v>
      </c>
      <c r="P240" s="1">
        <f t="shared" si="49"/>
        <v>0</v>
      </c>
      <c r="Q240" s="1">
        <f t="shared" si="58"/>
        <v>0</v>
      </c>
      <c r="R240" s="1">
        <f t="shared" si="50"/>
        <v>0</v>
      </c>
      <c r="S240" s="1">
        <f t="shared" si="51"/>
        <v>0</v>
      </c>
      <c r="T240" s="1">
        <f t="shared" si="52"/>
        <v>0</v>
      </c>
      <c r="U240" s="1">
        <f t="shared" si="53"/>
        <v>0</v>
      </c>
      <c r="V240" s="1">
        <f t="shared" si="59"/>
        <v>0</v>
      </c>
      <c r="W240" s="1">
        <f t="shared" si="54"/>
        <v>0</v>
      </c>
      <c r="X240" s="1">
        <f t="shared" si="55"/>
        <v>0</v>
      </c>
      <c r="Y240" s="1">
        <f t="shared" si="56"/>
        <v>0</v>
      </c>
      <c r="Z240" s="1">
        <f t="shared" si="57"/>
        <v>0</v>
      </c>
      <c r="AA240" s="1">
        <f t="shared" si="60"/>
        <v>0</v>
      </c>
    </row>
    <row r="241" spans="12:27" x14ac:dyDescent="0.3">
      <c r="L241">
        <v>240</v>
      </c>
      <c r="M241" s="1">
        <f t="shared" si="46"/>
        <v>0</v>
      </c>
      <c r="N241" s="1">
        <f t="shared" si="47"/>
        <v>0</v>
      </c>
      <c r="O241" s="1">
        <f t="shared" si="48"/>
        <v>0</v>
      </c>
      <c r="P241" s="1">
        <f t="shared" si="49"/>
        <v>0</v>
      </c>
      <c r="Q241" s="1">
        <f t="shared" si="58"/>
        <v>0</v>
      </c>
      <c r="R241" s="1">
        <f t="shared" si="50"/>
        <v>0</v>
      </c>
      <c r="S241" s="1">
        <f t="shared" si="51"/>
        <v>0</v>
      </c>
      <c r="T241" s="1">
        <f t="shared" si="52"/>
        <v>0</v>
      </c>
      <c r="U241" s="1">
        <f t="shared" si="53"/>
        <v>0</v>
      </c>
      <c r="V241" s="1">
        <f t="shared" si="59"/>
        <v>0</v>
      </c>
      <c r="W241" s="1">
        <f t="shared" si="54"/>
        <v>0</v>
      </c>
      <c r="X241" s="1">
        <f t="shared" si="55"/>
        <v>0</v>
      </c>
      <c r="Y241" s="1">
        <f t="shared" si="56"/>
        <v>0</v>
      </c>
      <c r="Z241" s="1">
        <f t="shared" si="57"/>
        <v>0</v>
      </c>
      <c r="AA241" s="1">
        <f t="shared" si="60"/>
        <v>0</v>
      </c>
    </row>
    <row r="242" spans="12:27" x14ac:dyDescent="0.3">
      <c r="L242">
        <v>241</v>
      </c>
      <c r="M242" s="1">
        <f t="shared" si="46"/>
        <v>0</v>
      </c>
      <c r="N242" s="1">
        <f t="shared" si="47"/>
        <v>0</v>
      </c>
      <c r="O242" s="1">
        <f t="shared" si="48"/>
        <v>0</v>
      </c>
      <c r="P242" s="1">
        <f t="shared" si="49"/>
        <v>0</v>
      </c>
      <c r="Q242" s="1">
        <f t="shared" si="58"/>
        <v>0</v>
      </c>
      <c r="R242" s="1">
        <f t="shared" si="50"/>
        <v>0</v>
      </c>
      <c r="S242" s="1">
        <f t="shared" si="51"/>
        <v>0</v>
      </c>
      <c r="T242" s="1">
        <f t="shared" si="52"/>
        <v>0</v>
      </c>
      <c r="U242" s="1">
        <f t="shared" si="53"/>
        <v>0</v>
      </c>
      <c r="V242" s="1">
        <f t="shared" si="59"/>
        <v>0</v>
      </c>
      <c r="W242" s="1">
        <f t="shared" si="54"/>
        <v>0</v>
      </c>
      <c r="X242" s="1">
        <f t="shared" si="55"/>
        <v>0</v>
      </c>
      <c r="Y242" s="1">
        <f t="shared" si="56"/>
        <v>0</v>
      </c>
      <c r="Z242" s="1">
        <f t="shared" si="57"/>
        <v>0</v>
      </c>
      <c r="AA242" s="1">
        <f t="shared" si="60"/>
        <v>0</v>
      </c>
    </row>
    <row r="243" spans="12:27" x14ac:dyDescent="0.3">
      <c r="L243">
        <v>242</v>
      </c>
      <c r="M243" s="1">
        <f t="shared" si="46"/>
        <v>0</v>
      </c>
      <c r="N243" s="1">
        <f t="shared" si="47"/>
        <v>0</v>
      </c>
      <c r="O243" s="1">
        <f t="shared" si="48"/>
        <v>0</v>
      </c>
      <c r="P243" s="1">
        <f t="shared" si="49"/>
        <v>0</v>
      </c>
      <c r="Q243" s="1">
        <f t="shared" si="58"/>
        <v>0</v>
      </c>
      <c r="R243" s="1">
        <f t="shared" si="50"/>
        <v>0</v>
      </c>
      <c r="S243" s="1">
        <f t="shared" si="51"/>
        <v>0</v>
      </c>
      <c r="T243" s="1">
        <f t="shared" si="52"/>
        <v>0</v>
      </c>
      <c r="U243" s="1">
        <f t="shared" si="53"/>
        <v>0</v>
      </c>
      <c r="V243" s="1">
        <f t="shared" si="59"/>
        <v>0</v>
      </c>
      <c r="W243" s="1">
        <f t="shared" si="54"/>
        <v>0</v>
      </c>
      <c r="X243" s="1">
        <f t="shared" si="55"/>
        <v>0</v>
      </c>
      <c r="Y243" s="1">
        <f t="shared" si="56"/>
        <v>0</v>
      </c>
      <c r="Z243" s="1">
        <f t="shared" si="57"/>
        <v>0</v>
      </c>
      <c r="AA243" s="1">
        <f t="shared" si="60"/>
        <v>0</v>
      </c>
    </row>
    <row r="244" spans="12:27" x14ac:dyDescent="0.3">
      <c r="L244">
        <v>243</v>
      </c>
      <c r="M244" s="1">
        <f t="shared" si="46"/>
        <v>0</v>
      </c>
      <c r="N244" s="1">
        <f t="shared" si="47"/>
        <v>0</v>
      </c>
      <c r="O244" s="1">
        <f t="shared" si="48"/>
        <v>0</v>
      </c>
      <c r="P244" s="1">
        <f t="shared" si="49"/>
        <v>0</v>
      </c>
      <c r="Q244" s="1">
        <f t="shared" si="58"/>
        <v>0</v>
      </c>
      <c r="R244" s="1">
        <f t="shared" si="50"/>
        <v>0</v>
      </c>
      <c r="S244" s="1">
        <f t="shared" si="51"/>
        <v>0</v>
      </c>
      <c r="T244" s="1">
        <f t="shared" si="52"/>
        <v>0</v>
      </c>
      <c r="U244" s="1">
        <f t="shared" si="53"/>
        <v>0</v>
      </c>
      <c r="V244" s="1">
        <f t="shared" si="59"/>
        <v>0</v>
      </c>
      <c r="W244" s="1">
        <f t="shared" si="54"/>
        <v>0</v>
      </c>
      <c r="X244" s="1">
        <f t="shared" si="55"/>
        <v>0</v>
      </c>
      <c r="Y244" s="1">
        <f t="shared" si="56"/>
        <v>0</v>
      </c>
      <c r="Z244" s="1">
        <f t="shared" si="57"/>
        <v>0</v>
      </c>
      <c r="AA244" s="1">
        <f t="shared" si="60"/>
        <v>0</v>
      </c>
    </row>
    <row r="245" spans="12:27" x14ac:dyDescent="0.3">
      <c r="L245">
        <v>244</v>
      </c>
      <c r="M245" s="1">
        <f t="shared" si="46"/>
        <v>0</v>
      </c>
      <c r="N245" s="1">
        <f t="shared" si="47"/>
        <v>0</v>
      </c>
      <c r="O245" s="1">
        <f t="shared" si="48"/>
        <v>0</v>
      </c>
      <c r="P245" s="1">
        <f t="shared" si="49"/>
        <v>0</v>
      </c>
      <c r="Q245" s="1">
        <f t="shared" si="58"/>
        <v>0</v>
      </c>
      <c r="R245" s="1">
        <f t="shared" si="50"/>
        <v>0</v>
      </c>
      <c r="S245" s="1">
        <f t="shared" si="51"/>
        <v>0</v>
      </c>
      <c r="T245" s="1">
        <f t="shared" si="52"/>
        <v>0</v>
      </c>
      <c r="U245" s="1">
        <f t="shared" si="53"/>
        <v>0</v>
      </c>
      <c r="V245" s="1">
        <f t="shared" si="59"/>
        <v>0</v>
      </c>
      <c r="W245" s="1">
        <f t="shared" si="54"/>
        <v>0</v>
      </c>
      <c r="X245" s="1">
        <f t="shared" si="55"/>
        <v>0</v>
      </c>
      <c r="Y245" s="1">
        <f t="shared" si="56"/>
        <v>0</v>
      </c>
      <c r="Z245" s="1">
        <f t="shared" si="57"/>
        <v>0</v>
      </c>
      <c r="AA245" s="1">
        <f t="shared" si="60"/>
        <v>0</v>
      </c>
    </row>
    <row r="246" spans="12:27" x14ac:dyDescent="0.3">
      <c r="L246">
        <v>245</v>
      </c>
      <c r="M246" s="1">
        <f t="shared" si="46"/>
        <v>0</v>
      </c>
      <c r="N246" s="1">
        <f t="shared" si="47"/>
        <v>0</v>
      </c>
      <c r="O246" s="1">
        <f t="shared" si="48"/>
        <v>0</v>
      </c>
      <c r="P246" s="1">
        <f t="shared" si="49"/>
        <v>0</v>
      </c>
      <c r="Q246" s="1">
        <f t="shared" si="58"/>
        <v>0</v>
      </c>
      <c r="R246" s="1">
        <f t="shared" si="50"/>
        <v>0</v>
      </c>
      <c r="S246" s="1">
        <f t="shared" si="51"/>
        <v>0</v>
      </c>
      <c r="T246" s="1">
        <f t="shared" si="52"/>
        <v>0</v>
      </c>
      <c r="U246" s="1">
        <f t="shared" si="53"/>
        <v>0</v>
      </c>
      <c r="V246" s="1">
        <f t="shared" si="59"/>
        <v>0</v>
      </c>
      <c r="W246" s="1">
        <f t="shared" si="54"/>
        <v>0</v>
      </c>
      <c r="X246" s="1">
        <f t="shared" si="55"/>
        <v>0</v>
      </c>
      <c r="Y246" s="1">
        <f t="shared" si="56"/>
        <v>0</v>
      </c>
      <c r="Z246" s="1">
        <f t="shared" si="57"/>
        <v>0</v>
      </c>
      <c r="AA246" s="1">
        <f t="shared" si="60"/>
        <v>0</v>
      </c>
    </row>
    <row r="247" spans="12:27" x14ac:dyDescent="0.3">
      <c r="L247">
        <v>246</v>
      </c>
      <c r="M247" s="1">
        <f t="shared" si="46"/>
        <v>0</v>
      </c>
      <c r="N247" s="1">
        <f t="shared" si="47"/>
        <v>0</v>
      </c>
      <c r="O247" s="1">
        <f t="shared" si="48"/>
        <v>0</v>
      </c>
      <c r="P247" s="1">
        <f t="shared" si="49"/>
        <v>0</v>
      </c>
      <c r="Q247" s="1">
        <f t="shared" si="58"/>
        <v>0</v>
      </c>
      <c r="R247" s="1">
        <f t="shared" si="50"/>
        <v>0</v>
      </c>
      <c r="S247" s="1">
        <f t="shared" si="51"/>
        <v>0</v>
      </c>
      <c r="T247" s="1">
        <f t="shared" si="52"/>
        <v>0</v>
      </c>
      <c r="U247" s="1">
        <f t="shared" si="53"/>
        <v>0</v>
      </c>
      <c r="V247" s="1">
        <f t="shared" si="59"/>
        <v>0</v>
      </c>
      <c r="W247" s="1">
        <f t="shared" si="54"/>
        <v>0</v>
      </c>
      <c r="X247" s="1">
        <f t="shared" si="55"/>
        <v>0</v>
      </c>
      <c r="Y247" s="1">
        <f t="shared" si="56"/>
        <v>0</v>
      </c>
      <c r="Z247" s="1">
        <f t="shared" si="57"/>
        <v>0</v>
      </c>
      <c r="AA247" s="1">
        <f t="shared" si="60"/>
        <v>0</v>
      </c>
    </row>
    <row r="248" spans="12:27" x14ac:dyDescent="0.3">
      <c r="L248">
        <v>247</v>
      </c>
      <c r="M248" s="1">
        <f t="shared" si="46"/>
        <v>0</v>
      </c>
      <c r="N248" s="1">
        <f t="shared" si="47"/>
        <v>0</v>
      </c>
      <c r="O248" s="1">
        <f t="shared" si="48"/>
        <v>0</v>
      </c>
      <c r="P248" s="1">
        <f t="shared" si="49"/>
        <v>0</v>
      </c>
      <c r="Q248" s="1">
        <f t="shared" si="58"/>
        <v>0</v>
      </c>
      <c r="R248" s="1">
        <f t="shared" si="50"/>
        <v>0</v>
      </c>
      <c r="S248" s="1">
        <f t="shared" si="51"/>
        <v>0</v>
      </c>
      <c r="T248" s="1">
        <f t="shared" si="52"/>
        <v>0</v>
      </c>
      <c r="U248" s="1">
        <f t="shared" si="53"/>
        <v>0</v>
      </c>
      <c r="V248" s="1">
        <f t="shared" si="59"/>
        <v>0</v>
      </c>
      <c r="W248" s="1">
        <f t="shared" si="54"/>
        <v>0</v>
      </c>
      <c r="X248" s="1">
        <f t="shared" si="55"/>
        <v>0</v>
      </c>
      <c r="Y248" s="1">
        <f t="shared" si="56"/>
        <v>0</v>
      </c>
      <c r="Z248" s="1">
        <f t="shared" si="57"/>
        <v>0</v>
      </c>
      <c r="AA248" s="1">
        <f t="shared" si="60"/>
        <v>0</v>
      </c>
    </row>
    <row r="249" spans="12:27" x14ac:dyDescent="0.3">
      <c r="L249">
        <v>248</v>
      </c>
      <c r="M249" s="1">
        <f t="shared" si="46"/>
        <v>0</v>
      </c>
      <c r="N249" s="1">
        <f t="shared" si="47"/>
        <v>0</v>
      </c>
      <c r="O249" s="1">
        <f t="shared" si="48"/>
        <v>0</v>
      </c>
      <c r="P249" s="1">
        <f t="shared" si="49"/>
        <v>0</v>
      </c>
      <c r="Q249" s="1">
        <f t="shared" si="58"/>
        <v>0</v>
      </c>
      <c r="R249" s="1">
        <f t="shared" si="50"/>
        <v>0</v>
      </c>
      <c r="S249" s="1">
        <f t="shared" si="51"/>
        <v>0</v>
      </c>
      <c r="T249" s="1">
        <f t="shared" si="52"/>
        <v>0</v>
      </c>
      <c r="U249" s="1">
        <f t="shared" si="53"/>
        <v>0</v>
      </c>
      <c r="V249" s="1">
        <f t="shared" si="59"/>
        <v>0</v>
      </c>
      <c r="W249" s="1">
        <f t="shared" si="54"/>
        <v>0</v>
      </c>
      <c r="X249" s="1">
        <f t="shared" si="55"/>
        <v>0</v>
      </c>
      <c r="Y249" s="1">
        <f t="shared" si="56"/>
        <v>0</v>
      </c>
      <c r="Z249" s="1">
        <f t="shared" si="57"/>
        <v>0</v>
      </c>
      <c r="AA249" s="1">
        <f t="shared" si="60"/>
        <v>0</v>
      </c>
    </row>
    <row r="250" spans="12:27" x14ac:dyDescent="0.3">
      <c r="L250">
        <v>249</v>
      </c>
      <c r="M250" s="1">
        <f t="shared" si="46"/>
        <v>0</v>
      </c>
      <c r="N250" s="1">
        <f t="shared" si="47"/>
        <v>0</v>
      </c>
      <c r="O250" s="1">
        <f t="shared" si="48"/>
        <v>0</v>
      </c>
      <c r="P250" s="1">
        <f t="shared" si="49"/>
        <v>0</v>
      </c>
      <c r="Q250" s="1">
        <f t="shared" si="58"/>
        <v>0</v>
      </c>
      <c r="R250" s="1">
        <f t="shared" si="50"/>
        <v>0</v>
      </c>
      <c r="S250" s="1">
        <f t="shared" si="51"/>
        <v>0</v>
      </c>
      <c r="T250" s="1">
        <f t="shared" si="52"/>
        <v>0</v>
      </c>
      <c r="U250" s="1">
        <f t="shared" si="53"/>
        <v>0</v>
      </c>
      <c r="V250" s="1">
        <f t="shared" si="59"/>
        <v>0</v>
      </c>
      <c r="W250" s="1">
        <f t="shared" si="54"/>
        <v>0</v>
      </c>
      <c r="X250" s="1">
        <f t="shared" si="55"/>
        <v>0</v>
      </c>
      <c r="Y250" s="1">
        <f t="shared" si="56"/>
        <v>0</v>
      </c>
      <c r="Z250" s="1">
        <f t="shared" si="57"/>
        <v>0</v>
      </c>
      <c r="AA250" s="1">
        <f t="shared" si="60"/>
        <v>0</v>
      </c>
    </row>
    <row r="251" spans="12:27" x14ac:dyDescent="0.3">
      <c r="L251">
        <v>250</v>
      </c>
      <c r="M251" s="1">
        <f t="shared" si="46"/>
        <v>0</v>
      </c>
      <c r="N251" s="1">
        <f t="shared" si="47"/>
        <v>0</v>
      </c>
      <c r="O251" s="1">
        <f t="shared" si="48"/>
        <v>0</v>
      </c>
      <c r="P251" s="1">
        <f t="shared" si="49"/>
        <v>0</v>
      </c>
      <c r="Q251" s="1">
        <f t="shared" si="58"/>
        <v>0</v>
      </c>
      <c r="R251" s="1">
        <f t="shared" si="50"/>
        <v>0</v>
      </c>
      <c r="S251" s="1">
        <f t="shared" si="51"/>
        <v>0</v>
      </c>
      <c r="T251" s="1">
        <f t="shared" si="52"/>
        <v>0</v>
      </c>
      <c r="U251" s="1">
        <f t="shared" si="53"/>
        <v>0</v>
      </c>
      <c r="V251" s="1">
        <f t="shared" si="59"/>
        <v>0</v>
      </c>
      <c r="W251" s="1">
        <f t="shared" si="54"/>
        <v>0</v>
      </c>
      <c r="X251" s="1">
        <f t="shared" si="55"/>
        <v>0</v>
      </c>
      <c r="Y251" s="1">
        <f t="shared" si="56"/>
        <v>0</v>
      </c>
      <c r="Z251" s="1">
        <f t="shared" si="57"/>
        <v>0</v>
      </c>
      <c r="AA251" s="1">
        <f t="shared" si="60"/>
        <v>0</v>
      </c>
    </row>
    <row r="252" spans="12:27" x14ac:dyDescent="0.3">
      <c r="L252">
        <v>251</v>
      </c>
      <c r="M252" s="1">
        <f t="shared" si="46"/>
        <v>0</v>
      </c>
      <c r="N252" s="1">
        <f t="shared" si="47"/>
        <v>0</v>
      </c>
      <c r="O252" s="1">
        <f t="shared" si="48"/>
        <v>0</v>
      </c>
      <c r="P252" s="1">
        <f t="shared" si="49"/>
        <v>0</v>
      </c>
      <c r="Q252" s="1">
        <f t="shared" si="58"/>
        <v>0</v>
      </c>
      <c r="R252" s="1">
        <f t="shared" si="50"/>
        <v>0</v>
      </c>
      <c r="S252" s="1">
        <f t="shared" si="51"/>
        <v>0</v>
      </c>
      <c r="T252" s="1">
        <f t="shared" si="52"/>
        <v>0</v>
      </c>
      <c r="U252" s="1">
        <f t="shared" si="53"/>
        <v>0</v>
      </c>
      <c r="V252" s="1">
        <f t="shared" si="59"/>
        <v>0</v>
      </c>
      <c r="W252" s="1">
        <f t="shared" si="54"/>
        <v>0</v>
      </c>
      <c r="X252" s="1">
        <f t="shared" si="55"/>
        <v>0</v>
      </c>
      <c r="Y252" s="1">
        <f t="shared" si="56"/>
        <v>0</v>
      </c>
      <c r="Z252" s="1">
        <f t="shared" si="57"/>
        <v>0</v>
      </c>
      <c r="AA252" s="1">
        <f t="shared" si="60"/>
        <v>0</v>
      </c>
    </row>
    <row r="253" spans="12:27" x14ac:dyDescent="0.3">
      <c r="L253">
        <v>252</v>
      </c>
      <c r="M253" s="1">
        <f t="shared" si="46"/>
        <v>0</v>
      </c>
      <c r="N253" s="1">
        <f t="shared" si="47"/>
        <v>0</v>
      </c>
      <c r="O253" s="1">
        <f t="shared" si="48"/>
        <v>0</v>
      </c>
      <c r="P253" s="1">
        <f t="shared" si="49"/>
        <v>0</v>
      </c>
      <c r="Q253" s="1">
        <f t="shared" si="58"/>
        <v>0</v>
      </c>
      <c r="R253" s="1">
        <f t="shared" si="50"/>
        <v>0</v>
      </c>
      <c r="S253" s="1">
        <f t="shared" si="51"/>
        <v>0</v>
      </c>
      <c r="T253" s="1">
        <f t="shared" si="52"/>
        <v>0</v>
      </c>
      <c r="U253" s="1">
        <f t="shared" si="53"/>
        <v>0</v>
      </c>
      <c r="V253" s="1">
        <f t="shared" si="59"/>
        <v>0</v>
      </c>
      <c r="W253" s="1">
        <f t="shared" si="54"/>
        <v>0</v>
      </c>
      <c r="X253" s="1">
        <f t="shared" si="55"/>
        <v>0</v>
      </c>
      <c r="Y253" s="1">
        <f t="shared" si="56"/>
        <v>0</v>
      </c>
      <c r="Z253" s="1">
        <f t="shared" si="57"/>
        <v>0</v>
      </c>
      <c r="AA253" s="1">
        <f t="shared" si="60"/>
        <v>0</v>
      </c>
    </row>
    <row r="254" spans="12:27" x14ac:dyDescent="0.3">
      <c r="L254">
        <v>253</v>
      </c>
      <c r="M254" s="1">
        <f t="shared" si="46"/>
        <v>0</v>
      </c>
      <c r="N254" s="1">
        <f t="shared" si="47"/>
        <v>0</v>
      </c>
      <c r="O254" s="1">
        <f t="shared" si="48"/>
        <v>0</v>
      </c>
      <c r="P254" s="1">
        <f t="shared" si="49"/>
        <v>0</v>
      </c>
      <c r="Q254" s="1">
        <f t="shared" si="58"/>
        <v>0</v>
      </c>
      <c r="R254" s="1">
        <f t="shared" si="50"/>
        <v>0</v>
      </c>
      <c r="S254" s="1">
        <f t="shared" si="51"/>
        <v>0</v>
      </c>
      <c r="T254" s="1">
        <f t="shared" si="52"/>
        <v>0</v>
      </c>
      <c r="U254" s="1">
        <f t="shared" si="53"/>
        <v>0</v>
      </c>
      <c r="V254" s="1">
        <f t="shared" si="59"/>
        <v>0</v>
      </c>
      <c r="W254" s="1">
        <f t="shared" si="54"/>
        <v>0</v>
      </c>
      <c r="X254" s="1">
        <f t="shared" si="55"/>
        <v>0</v>
      </c>
      <c r="Y254" s="1">
        <f t="shared" si="56"/>
        <v>0</v>
      </c>
      <c r="Z254" s="1">
        <f t="shared" si="57"/>
        <v>0</v>
      </c>
      <c r="AA254" s="1">
        <f t="shared" si="60"/>
        <v>0</v>
      </c>
    </row>
    <row r="255" spans="12:27" x14ac:dyDescent="0.3">
      <c r="L255">
        <v>254</v>
      </c>
      <c r="M255" s="1">
        <f t="shared" si="46"/>
        <v>0</v>
      </c>
      <c r="N255" s="1">
        <f t="shared" si="47"/>
        <v>0</v>
      </c>
      <c r="O255" s="1">
        <f t="shared" si="48"/>
        <v>0</v>
      </c>
      <c r="P255" s="1">
        <f t="shared" si="49"/>
        <v>0</v>
      </c>
      <c r="Q255" s="1">
        <f t="shared" si="58"/>
        <v>0</v>
      </c>
      <c r="R255" s="1">
        <f t="shared" si="50"/>
        <v>0</v>
      </c>
      <c r="S255" s="1">
        <f t="shared" si="51"/>
        <v>0</v>
      </c>
      <c r="T255" s="1">
        <f t="shared" si="52"/>
        <v>0</v>
      </c>
      <c r="U255" s="1">
        <f t="shared" si="53"/>
        <v>0</v>
      </c>
      <c r="V255" s="1">
        <f t="shared" si="59"/>
        <v>0</v>
      </c>
      <c r="W255" s="1">
        <f t="shared" si="54"/>
        <v>0</v>
      </c>
      <c r="X255" s="1">
        <f t="shared" si="55"/>
        <v>0</v>
      </c>
      <c r="Y255" s="1">
        <f t="shared" si="56"/>
        <v>0</v>
      </c>
      <c r="Z255" s="1">
        <f t="shared" si="57"/>
        <v>0</v>
      </c>
      <c r="AA255" s="1">
        <f t="shared" si="60"/>
        <v>0</v>
      </c>
    </row>
    <row r="256" spans="12:27" x14ac:dyDescent="0.3">
      <c r="L256">
        <v>255</v>
      </c>
      <c r="M256" s="1">
        <f t="shared" si="46"/>
        <v>0</v>
      </c>
      <c r="N256" s="1">
        <f t="shared" si="47"/>
        <v>0</v>
      </c>
      <c r="O256" s="1">
        <f t="shared" si="48"/>
        <v>0</v>
      </c>
      <c r="P256" s="1">
        <f t="shared" si="49"/>
        <v>0</v>
      </c>
      <c r="Q256" s="1">
        <f t="shared" si="58"/>
        <v>0</v>
      </c>
      <c r="R256" s="1">
        <f t="shared" si="50"/>
        <v>0</v>
      </c>
      <c r="S256" s="1">
        <f t="shared" si="51"/>
        <v>0</v>
      </c>
      <c r="T256" s="1">
        <f t="shared" si="52"/>
        <v>0</v>
      </c>
      <c r="U256" s="1">
        <f t="shared" si="53"/>
        <v>0</v>
      </c>
      <c r="V256" s="1">
        <f t="shared" si="59"/>
        <v>0</v>
      </c>
      <c r="W256" s="1">
        <f t="shared" si="54"/>
        <v>0</v>
      </c>
      <c r="X256" s="1">
        <f t="shared" si="55"/>
        <v>0</v>
      </c>
      <c r="Y256" s="1">
        <f t="shared" si="56"/>
        <v>0</v>
      </c>
      <c r="Z256" s="1">
        <f t="shared" si="57"/>
        <v>0</v>
      </c>
      <c r="AA256" s="1">
        <f t="shared" si="60"/>
        <v>0</v>
      </c>
    </row>
    <row r="257" spans="12:27" x14ac:dyDescent="0.3">
      <c r="L257">
        <v>256</v>
      </c>
      <c r="M257" s="1">
        <f t="shared" si="46"/>
        <v>0</v>
      </c>
      <c r="N257" s="1">
        <f t="shared" si="47"/>
        <v>0</v>
      </c>
      <c r="O257" s="1">
        <f t="shared" si="48"/>
        <v>0</v>
      </c>
      <c r="P257" s="1">
        <f t="shared" si="49"/>
        <v>0</v>
      </c>
      <c r="Q257" s="1">
        <f t="shared" si="58"/>
        <v>0</v>
      </c>
      <c r="R257" s="1">
        <f t="shared" si="50"/>
        <v>0</v>
      </c>
      <c r="S257" s="1">
        <f t="shared" si="51"/>
        <v>0</v>
      </c>
      <c r="T257" s="1">
        <f t="shared" si="52"/>
        <v>0</v>
      </c>
      <c r="U257" s="1">
        <f t="shared" si="53"/>
        <v>0</v>
      </c>
      <c r="V257" s="1">
        <f t="shared" si="59"/>
        <v>0</v>
      </c>
      <c r="W257" s="1">
        <f t="shared" si="54"/>
        <v>0</v>
      </c>
      <c r="X257" s="1">
        <f t="shared" si="55"/>
        <v>0</v>
      </c>
      <c r="Y257" s="1">
        <f t="shared" si="56"/>
        <v>0</v>
      </c>
      <c r="Z257" s="1">
        <f t="shared" si="57"/>
        <v>0</v>
      </c>
      <c r="AA257" s="1">
        <f t="shared" si="60"/>
        <v>0</v>
      </c>
    </row>
    <row r="258" spans="12:27" x14ac:dyDescent="0.3">
      <c r="L258">
        <v>257</v>
      </c>
      <c r="M258" s="1">
        <f t="shared" ref="M258:M321" si="61">MAX(IF(OR(kcjd&lt;jdplant1,kcjd&gt;jdplant1+C$21),0,kc.ini.1),M623)</f>
        <v>0</v>
      </c>
      <c r="N258" s="1">
        <f t="shared" ref="N258:N321" si="62">MAX(IF(OR(kcjd&lt;jdplant1+C$21,kcjd&gt;jdplant1+SUM(C$21,D$21)),0,+H$21+(kcjd-(jdplant1+C$21))/(jdplant1+SUM(C$21,D$21)-(jdplant1+C$21))*(I$21-H$21)),N623)</f>
        <v>0</v>
      </c>
      <c r="O258" s="1">
        <f t="shared" ref="O258:O321" si="63">MAX(IF(OR(kcjd&lt;jdplant1+SUM(C$21,D$21),kcjd&gt;jdplant1+SUM(C$21,D$21,E$21)),0,kc.mid.1),O623)</f>
        <v>0</v>
      </c>
      <c r="P258" s="1">
        <f t="shared" ref="P258:P321" si="64">MAX(IF(OR(kcjd&lt;jdplant1+SUM(C$21:E$21),kcjd&gt;jdplant1+G$21),0,+I$21-(kcjd-(jdplant1+SUM(C$21:E$21)))/((jdplant1+G$21)-(jdplant1+SUM(C$21:E$21)))*(I$21-J$21)),P623)</f>
        <v>0</v>
      </c>
      <c r="Q258" s="1">
        <f t="shared" si="58"/>
        <v>0</v>
      </c>
      <c r="R258" s="1">
        <f t="shared" ref="R258:R321" si="65">MAX(IF(OR(kcjd&lt;jdplant2,kcjd&gt;jdplant2+$C$22),0,kc.ini.2),R623)</f>
        <v>0</v>
      </c>
      <c r="S258" s="1">
        <f t="shared" ref="S258:S321" si="66">MAX(IF(OR(kcjd&lt;jdplant2+$C$22,kcjd&gt;jdplant2+SUM($C$22,$D$22)),0,+kc.ini.2+(kcjd-(jdplant2+$C$22))/(jdplant2+SUM($C$22,$D$22)-(jdplant2+$C$22))*(kc.mid.2-kc.ini.2)),S623)</f>
        <v>0</v>
      </c>
      <c r="T258" s="1">
        <f t="shared" ref="T258:T321" si="67">MAX(IF(OR(kcjd&lt;jdplant2+SUM($C$22,$D$22),kcjd&gt;jdplant2+SUM($C$22,$D$22,$E$22)),0,kc.mid.2),T623)</f>
        <v>0</v>
      </c>
      <c r="U258" s="1">
        <f t="shared" ref="U258:U321" si="68">MAX(IF(OR(kcjd&lt;jdplant2+SUM($C$22:$E$22),kcjd&gt;jdplant2+$G$22),0,+kc.mid.2-(kcjd-(jdplant2+SUM($C$22:$E$22)))/((jdplant2+$G$22)-(jdplant2+SUM($C$22:$E$22)))*(kc.mid.2-kc.late.2)),U623)</f>
        <v>0</v>
      </c>
      <c r="V258" s="1">
        <f t="shared" si="59"/>
        <v>0</v>
      </c>
      <c r="W258" s="1">
        <f t="shared" ref="W258:W321" si="69">MAX(IF(OR(kcjd&lt;jdplant3,kcjd&gt;jdplant3+$C$23),0,kc.ini.3),W623)</f>
        <v>0</v>
      </c>
      <c r="X258" s="1">
        <f t="shared" ref="X258:X321" si="70">MAX(IF(OR(kcjd&lt;jdplant3+$C$23,kcjd&gt;jdplant3+SUM($C$23,$D$23)),0,+kc.ini.3+(kcjd-(jdplant3+$C$23))/(jdplant3+SUM($C$23,$D$23)-(jdplant3+$C$23))*(kc.mid.3-kc.ini.3)),X623)</f>
        <v>0</v>
      </c>
      <c r="Y258" s="1">
        <f t="shared" ref="Y258:Y321" si="71">MAX(IF(OR(kcjd&lt;jdplant3+SUM($C$23,$D$23),kcjd&gt;jdplant3+SUM($C$23,$D$23,$E$23)),0,kc.mid.3),Y623)</f>
        <v>0</v>
      </c>
      <c r="Z258" s="1">
        <f t="shared" ref="Z258:Z321" si="72">MAX(IF(OR(kcjd&lt;jdplant3+SUM($C$23:$E$23),kcjd&gt;jdplant3+$G$23),0,+kc.mid.3-(kcjd-(jdplant3+SUM($C$23:$E$23)))/((jdplant3+$G$23)-(jdplant3+SUM($C$23:$E$23)))*(kc.mid.3-kc.late.3)),Z623)</f>
        <v>0</v>
      </c>
      <c r="AA258" s="1">
        <f t="shared" si="60"/>
        <v>0</v>
      </c>
    </row>
    <row r="259" spans="12:27" x14ac:dyDescent="0.3">
      <c r="L259">
        <v>258</v>
      </c>
      <c r="M259" s="1">
        <f t="shared" si="61"/>
        <v>0</v>
      </c>
      <c r="N259" s="1">
        <f t="shared" si="62"/>
        <v>0</v>
      </c>
      <c r="O259" s="1">
        <f t="shared" si="63"/>
        <v>0</v>
      </c>
      <c r="P259" s="1">
        <f t="shared" si="64"/>
        <v>0</v>
      </c>
      <c r="Q259" s="1">
        <f t="shared" ref="Q259:Q322" si="73">MAX(M259:P259)</f>
        <v>0</v>
      </c>
      <c r="R259" s="1">
        <f t="shared" si="65"/>
        <v>0</v>
      </c>
      <c r="S259" s="1">
        <f t="shared" si="66"/>
        <v>0</v>
      </c>
      <c r="T259" s="1">
        <f t="shared" si="67"/>
        <v>0</v>
      </c>
      <c r="U259" s="1">
        <f t="shared" si="68"/>
        <v>0</v>
      </c>
      <c r="V259" s="1">
        <f t="shared" ref="V259:V322" si="74">MAX(R259:U259)</f>
        <v>0</v>
      </c>
      <c r="W259" s="1">
        <f t="shared" si="69"/>
        <v>0</v>
      </c>
      <c r="X259" s="1">
        <f t="shared" si="70"/>
        <v>0</v>
      </c>
      <c r="Y259" s="1">
        <f t="shared" si="71"/>
        <v>0</v>
      </c>
      <c r="Z259" s="1">
        <f t="shared" si="72"/>
        <v>0</v>
      </c>
      <c r="AA259" s="1">
        <f t="shared" ref="AA259:AA322" si="75">MAX(W259:Z259)</f>
        <v>0</v>
      </c>
    </row>
    <row r="260" spans="12:27" x14ac:dyDescent="0.3">
      <c r="L260">
        <v>259</v>
      </c>
      <c r="M260" s="1">
        <f t="shared" si="61"/>
        <v>0</v>
      </c>
      <c r="N260" s="1">
        <f t="shared" si="62"/>
        <v>0</v>
      </c>
      <c r="O260" s="1">
        <f t="shared" si="63"/>
        <v>0</v>
      </c>
      <c r="P260" s="1">
        <f t="shared" si="64"/>
        <v>0</v>
      </c>
      <c r="Q260" s="1">
        <f t="shared" si="73"/>
        <v>0</v>
      </c>
      <c r="R260" s="1">
        <f t="shared" si="65"/>
        <v>0</v>
      </c>
      <c r="S260" s="1">
        <f t="shared" si="66"/>
        <v>0</v>
      </c>
      <c r="T260" s="1">
        <f t="shared" si="67"/>
        <v>0</v>
      </c>
      <c r="U260" s="1">
        <f t="shared" si="68"/>
        <v>0</v>
      </c>
      <c r="V260" s="1">
        <f t="shared" si="74"/>
        <v>0</v>
      </c>
      <c r="W260" s="1">
        <f t="shared" si="69"/>
        <v>0</v>
      </c>
      <c r="X260" s="1">
        <f t="shared" si="70"/>
        <v>0</v>
      </c>
      <c r="Y260" s="1">
        <f t="shared" si="71"/>
        <v>0</v>
      </c>
      <c r="Z260" s="1">
        <f t="shared" si="72"/>
        <v>0</v>
      </c>
      <c r="AA260" s="1">
        <f t="shared" si="75"/>
        <v>0</v>
      </c>
    </row>
    <row r="261" spans="12:27" x14ac:dyDescent="0.3">
      <c r="L261">
        <v>260</v>
      </c>
      <c r="M261" s="1">
        <f t="shared" si="61"/>
        <v>0</v>
      </c>
      <c r="N261" s="1">
        <f t="shared" si="62"/>
        <v>0</v>
      </c>
      <c r="O261" s="1">
        <f t="shared" si="63"/>
        <v>0</v>
      </c>
      <c r="P261" s="1">
        <f t="shared" si="64"/>
        <v>0</v>
      </c>
      <c r="Q261" s="1">
        <f t="shared" si="73"/>
        <v>0</v>
      </c>
      <c r="R261" s="1">
        <f t="shared" si="65"/>
        <v>0</v>
      </c>
      <c r="S261" s="1">
        <f t="shared" si="66"/>
        <v>0</v>
      </c>
      <c r="T261" s="1">
        <f t="shared" si="67"/>
        <v>0</v>
      </c>
      <c r="U261" s="1">
        <f t="shared" si="68"/>
        <v>0</v>
      </c>
      <c r="V261" s="1">
        <f t="shared" si="74"/>
        <v>0</v>
      </c>
      <c r="W261" s="1">
        <f t="shared" si="69"/>
        <v>0</v>
      </c>
      <c r="X261" s="1">
        <f t="shared" si="70"/>
        <v>0</v>
      </c>
      <c r="Y261" s="1">
        <f t="shared" si="71"/>
        <v>0</v>
      </c>
      <c r="Z261" s="1">
        <f t="shared" si="72"/>
        <v>0</v>
      </c>
      <c r="AA261" s="1">
        <f t="shared" si="75"/>
        <v>0</v>
      </c>
    </row>
    <row r="262" spans="12:27" x14ac:dyDescent="0.3">
      <c r="L262">
        <v>261</v>
      </c>
      <c r="M262" s="1">
        <f t="shared" si="61"/>
        <v>0</v>
      </c>
      <c r="N262" s="1">
        <f t="shared" si="62"/>
        <v>0</v>
      </c>
      <c r="O262" s="1">
        <f t="shared" si="63"/>
        <v>0</v>
      </c>
      <c r="P262" s="1">
        <f t="shared" si="64"/>
        <v>0</v>
      </c>
      <c r="Q262" s="1">
        <f t="shared" si="73"/>
        <v>0</v>
      </c>
      <c r="R262" s="1">
        <f t="shared" si="65"/>
        <v>0</v>
      </c>
      <c r="S262" s="1">
        <f t="shared" si="66"/>
        <v>0</v>
      </c>
      <c r="T262" s="1">
        <f t="shared" si="67"/>
        <v>0</v>
      </c>
      <c r="U262" s="1">
        <f t="shared" si="68"/>
        <v>0</v>
      </c>
      <c r="V262" s="1">
        <f t="shared" si="74"/>
        <v>0</v>
      </c>
      <c r="W262" s="1">
        <f t="shared" si="69"/>
        <v>0</v>
      </c>
      <c r="X262" s="1">
        <f t="shared" si="70"/>
        <v>0</v>
      </c>
      <c r="Y262" s="1">
        <f t="shared" si="71"/>
        <v>0</v>
      </c>
      <c r="Z262" s="1">
        <f t="shared" si="72"/>
        <v>0</v>
      </c>
      <c r="AA262" s="1">
        <f t="shared" si="75"/>
        <v>0</v>
      </c>
    </row>
    <row r="263" spans="12:27" x14ac:dyDescent="0.3">
      <c r="L263">
        <v>262</v>
      </c>
      <c r="M263" s="1">
        <f t="shared" si="61"/>
        <v>0</v>
      </c>
      <c r="N263" s="1">
        <f t="shared" si="62"/>
        <v>0</v>
      </c>
      <c r="O263" s="1">
        <f t="shared" si="63"/>
        <v>0</v>
      </c>
      <c r="P263" s="1">
        <f t="shared" si="64"/>
        <v>0</v>
      </c>
      <c r="Q263" s="1">
        <f t="shared" si="73"/>
        <v>0</v>
      </c>
      <c r="R263" s="1">
        <f t="shared" si="65"/>
        <v>0</v>
      </c>
      <c r="S263" s="1">
        <f t="shared" si="66"/>
        <v>0</v>
      </c>
      <c r="T263" s="1">
        <f t="shared" si="67"/>
        <v>0</v>
      </c>
      <c r="U263" s="1">
        <f t="shared" si="68"/>
        <v>0</v>
      </c>
      <c r="V263" s="1">
        <f t="shared" si="74"/>
        <v>0</v>
      </c>
      <c r="W263" s="1">
        <f t="shared" si="69"/>
        <v>0</v>
      </c>
      <c r="X263" s="1">
        <f t="shared" si="70"/>
        <v>0</v>
      </c>
      <c r="Y263" s="1">
        <f t="shared" si="71"/>
        <v>0</v>
      </c>
      <c r="Z263" s="1">
        <f t="shared" si="72"/>
        <v>0</v>
      </c>
      <c r="AA263" s="1">
        <f t="shared" si="75"/>
        <v>0</v>
      </c>
    </row>
    <row r="264" spans="12:27" x14ac:dyDescent="0.3">
      <c r="L264">
        <v>263</v>
      </c>
      <c r="M264" s="1">
        <f t="shared" si="61"/>
        <v>0</v>
      </c>
      <c r="N264" s="1">
        <f t="shared" si="62"/>
        <v>0</v>
      </c>
      <c r="O264" s="1">
        <f t="shared" si="63"/>
        <v>0</v>
      </c>
      <c r="P264" s="1">
        <f t="shared" si="64"/>
        <v>0</v>
      </c>
      <c r="Q264" s="1">
        <f t="shared" si="73"/>
        <v>0</v>
      </c>
      <c r="R264" s="1">
        <f t="shared" si="65"/>
        <v>0</v>
      </c>
      <c r="S264" s="1">
        <f t="shared" si="66"/>
        <v>0</v>
      </c>
      <c r="T264" s="1">
        <f t="shared" si="67"/>
        <v>0</v>
      </c>
      <c r="U264" s="1">
        <f t="shared" si="68"/>
        <v>0</v>
      </c>
      <c r="V264" s="1">
        <f t="shared" si="74"/>
        <v>0</v>
      </c>
      <c r="W264" s="1">
        <f t="shared" si="69"/>
        <v>0</v>
      </c>
      <c r="X264" s="1">
        <f t="shared" si="70"/>
        <v>0</v>
      </c>
      <c r="Y264" s="1">
        <f t="shared" si="71"/>
        <v>0</v>
      </c>
      <c r="Z264" s="1">
        <f t="shared" si="72"/>
        <v>0</v>
      </c>
      <c r="AA264" s="1">
        <f t="shared" si="75"/>
        <v>0</v>
      </c>
    </row>
    <row r="265" spans="12:27" x14ac:dyDescent="0.3">
      <c r="L265">
        <v>264</v>
      </c>
      <c r="M265" s="1">
        <f t="shared" si="61"/>
        <v>0</v>
      </c>
      <c r="N265" s="1">
        <f t="shared" si="62"/>
        <v>0</v>
      </c>
      <c r="O265" s="1">
        <f t="shared" si="63"/>
        <v>0</v>
      </c>
      <c r="P265" s="1">
        <f t="shared" si="64"/>
        <v>0</v>
      </c>
      <c r="Q265" s="1">
        <f t="shared" si="73"/>
        <v>0</v>
      </c>
      <c r="R265" s="1">
        <f t="shared" si="65"/>
        <v>0</v>
      </c>
      <c r="S265" s="1">
        <f t="shared" si="66"/>
        <v>0</v>
      </c>
      <c r="T265" s="1">
        <f t="shared" si="67"/>
        <v>0</v>
      </c>
      <c r="U265" s="1">
        <f t="shared" si="68"/>
        <v>0</v>
      </c>
      <c r="V265" s="1">
        <f t="shared" si="74"/>
        <v>0</v>
      </c>
      <c r="W265" s="1">
        <f t="shared" si="69"/>
        <v>0</v>
      </c>
      <c r="X265" s="1">
        <f t="shared" si="70"/>
        <v>0</v>
      </c>
      <c r="Y265" s="1">
        <f t="shared" si="71"/>
        <v>0</v>
      </c>
      <c r="Z265" s="1">
        <f t="shared" si="72"/>
        <v>0</v>
      </c>
      <c r="AA265" s="1">
        <f t="shared" si="75"/>
        <v>0</v>
      </c>
    </row>
    <row r="266" spans="12:27" x14ac:dyDescent="0.3">
      <c r="L266">
        <v>265</v>
      </c>
      <c r="M266" s="1">
        <f t="shared" si="61"/>
        <v>0</v>
      </c>
      <c r="N266" s="1">
        <f t="shared" si="62"/>
        <v>0</v>
      </c>
      <c r="O266" s="1">
        <f t="shared" si="63"/>
        <v>0</v>
      </c>
      <c r="P266" s="1">
        <f t="shared" si="64"/>
        <v>0</v>
      </c>
      <c r="Q266" s="1">
        <f t="shared" si="73"/>
        <v>0</v>
      </c>
      <c r="R266" s="1">
        <f t="shared" si="65"/>
        <v>0</v>
      </c>
      <c r="S266" s="1">
        <f t="shared" si="66"/>
        <v>0</v>
      </c>
      <c r="T266" s="1">
        <f t="shared" si="67"/>
        <v>0</v>
      </c>
      <c r="U266" s="1">
        <f t="shared" si="68"/>
        <v>0</v>
      </c>
      <c r="V266" s="1">
        <f t="shared" si="74"/>
        <v>0</v>
      </c>
      <c r="W266" s="1">
        <f t="shared" si="69"/>
        <v>0</v>
      </c>
      <c r="X266" s="1">
        <f t="shared" si="70"/>
        <v>0</v>
      </c>
      <c r="Y266" s="1">
        <f t="shared" si="71"/>
        <v>0</v>
      </c>
      <c r="Z266" s="1">
        <f t="shared" si="72"/>
        <v>0</v>
      </c>
      <c r="AA266" s="1">
        <f t="shared" si="75"/>
        <v>0</v>
      </c>
    </row>
    <row r="267" spans="12:27" x14ac:dyDescent="0.3">
      <c r="L267">
        <v>266</v>
      </c>
      <c r="M267" s="1">
        <f t="shared" si="61"/>
        <v>0</v>
      </c>
      <c r="N267" s="1">
        <f t="shared" si="62"/>
        <v>0</v>
      </c>
      <c r="O267" s="1">
        <f t="shared" si="63"/>
        <v>0</v>
      </c>
      <c r="P267" s="1">
        <f t="shared" si="64"/>
        <v>0</v>
      </c>
      <c r="Q267" s="1">
        <f t="shared" si="73"/>
        <v>0</v>
      </c>
      <c r="R267" s="1">
        <f t="shared" si="65"/>
        <v>0</v>
      </c>
      <c r="S267" s="1">
        <f t="shared" si="66"/>
        <v>0</v>
      </c>
      <c r="T267" s="1">
        <f t="shared" si="67"/>
        <v>0</v>
      </c>
      <c r="U267" s="1">
        <f t="shared" si="68"/>
        <v>0</v>
      </c>
      <c r="V267" s="1">
        <f t="shared" si="74"/>
        <v>0</v>
      </c>
      <c r="W267" s="1">
        <f t="shared" si="69"/>
        <v>0</v>
      </c>
      <c r="X267" s="1">
        <f t="shared" si="70"/>
        <v>0</v>
      </c>
      <c r="Y267" s="1">
        <f t="shared" si="71"/>
        <v>0</v>
      </c>
      <c r="Z267" s="1">
        <f t="shared" si="72"/>
        <v>0</v>
      </c>
      <c r="AA267" s="1">
        <f t="shared" si="75"/>
        <v>0</v>
      </c>
    </row>
    <row r="268" spans="12:27" x14ac:dyDescent="0.3">
      <c r="L268">
        <v>267</v>
      </c>
      <c r="M268" s="1">
        <f t="shared" si="61"/>
        <v>0</v>
      </c>
      <c r="N268" s="1">
        <f t="shared" si="62"/>
        <v>0</v>
      </c>
      <c r="O268" s="1">
        <f t="shared" si="63"/>
        <v>0</v>
      </c>
      <c r="P268" s="1">
        <f t="shared" si="64"/>
        <v>0</v>
      </c>
      <c r="Q268" s="1">
        <f t="shared" si="73"/>
        <v>0</v>
      </c>
      <c r="R268" s="1">
        <f t="shared" si="65"/>
        <v>0</v>
      </c>
      <c r="S268" s="1">
        <f t="shared" si="66"/>
        <v>0</v>
      </c>
      <c r="T268" s="1">
        <f t="shared" si="67"/>
        <v>0</v>
      </c>
      <c r="U268" s="1">
        <f t="shared" si="68"/>
        <v>0</v>
      </c>
      <c r="V268" s="1">
        <f t="shared" si="74"/>
        <v>0</v>
      </c>
      <c r="W268" s="1">
        <f t="shared" si="69"/>
        <v>0</v>
      </c>
      <c r="X268" s="1">
        <f t="shared" si="70"/>
        <v>0</v>
      </c>
      <c r="Y268" s="1">
        <f t="shared" si="71"/>
        <v>0</v>
      </c>
      <c r="Z268" s="1">
        <f t="shared" si="72"/>
        <v>0</v>
      </c>
      <c r="AA268" s="1">
        <f t="shared" si="75"/>
        <v>0</v>
      </c>
    </row>
    <row r="269" spans="12:27" x14ac:dyDescent="0.3">
      <c r="L269">
        <v>268</v>
      </c>
      <c r="M269" s="1">
        <f t="shared" si="61"/>
        <v>0</v>
      </c>
      <c r="N269" s="1">
        <f t="shared" si="62"/>
        <v>0</v>
      </c>
      <c r="O269" s="1">
        <f t="shared" si="63"/>
        <v>0</v>
      </c>
      <c r="P269" s="1">
        <f t="shared" si="64"/>
        <v>0</v>
      </c>
      <c r="Q269" s="1">
        <f t="shared" si="73"/>
        <v>0</v>
      </c>
      <c r="R269" s="1">
        <f t="shared" si="65"/>
        <v>0</v>
      </c>
      <c r="S269" s="1">
        <f t="shared" si="66"/>
        <v>0</v>
      </c>
      <c r="T269" s="1">
        <f t="shared" si="67"/>
        <v>0</v>
      </c>
      <c r="U269" s="1">
        <f t="shared" si="68"/>
        <v>0</v>
      </c>
      <c r="V269" s="1">
        <f t="shared" si="74"/>
        <v>0</v>
      </c>
      <c r="W269" s="1">
        <f t="shared" si="69"/>
        <v>0</v>
      </c>
      <c r="X269" s="1">
        <f t="shared" si="70"/>
        <v>0</v>
      </c>
      <c r="Y269" s="1">
        <f t="shared" si="71"/>
        <v>0</v>
      </c>
      <c r="Z269" s="1">
        <f t="shared" si="72"/>
        <v>0</v>
      </c>
      <c r="AA269" s="1">
        <f t="shared" si="75"/>
        <v>0</v>
      </c>
    </row>
    <row r="270" spans="12:27" x14ac:dyDescent="0.3">
      <c r="L270">
        <v>269</v>
      </c>
      <c r="M270" s="1">
        <f t="shared" si="61"/>
        <v>0</v>
      </c>
      <c r="N270" s="1">
        <f t="shared" si="62"/>
        <v>0</v>
      </c>
      <c r="O270" s="1">
        <f t="shared" si="63"/>
        <v>0</v>
      </c>
      <c r="P270" s="1">
        <f t="shared" si="64"/>
        <v>0</v>
      </c>
      <c r="Q270" s="1">
        <f t="shared" si="73"/>
        <v>0</v>
      </c>
      <c r="R270" s="1">
        <f t="shared" si="65"/>
        <v>0</v>
      </c>
      <c r="S270" s="1">
        <f t="shared" si="66"/>
        <v>0</v>
      </c>
      <c r="T270" s="1">
        <f t="shared" si="67"/>
        <v>0</v>
      </c>
      <c r="U270" s="1">
        <f t="shared" si="68"/>
        <v>0</v>
      </c>
      <c r="V270" s="1">
        <f t="shared" si="74"/>
        <v>0</v>
      </c>
      <c r="W270" s="1">
        <f t="shared" si="69"/>
        <v>0</v>
      </c>
      <c r="X270" s="1">
        <f t="shared" si="70"/>
        <v>0</v>
      </c>
      <c r="Y270" s="1">
        <f t="shared" si="71"/>
        <v>0</v>
      </c>
      <c r="Z270" s="1">
        <f t="shared" si="72"/>
        <v>0</v>
      </c>
      <c r="AA270" s="1">
        <f t="shared" si="75"/>
        <v>0</v>
      </c>
    </row>
    <row r="271" spans="12:27" x14ac:dyDescent="0.3">
      <c r="L271">
        <v>270</v>
      </c>
      <c r="M271" s="1">
        <f t="shared" si="61"/>
        <v>0</v>
      </c>
      <c r="N271" s="1">
        <f t="shared" si="62"/>
        <v>0</v>
      </c>
      <c r="O271" s="1">
        <f t="shared" si="63"/>
        <v>0</v>
      </c>
      <c r="P271" s="1">
        <f t="shared" si="64"/>
        <v>0</v>
      </c>
      <c r="Q271" s="1">
        <f t="shared" si="73"/>
        <v>0</v>
      </c>
      <c r="R271" s="1">
        <f t="shared" si="65"/>
        <v>0</v>
      </c>
      <c r="S271" s="1">
        <f t="shared" si="66"/>
        <v>0</v>
      </c>
      <c r="T271" s="1">
        <f t="shared" si="67"/>
        <v>0</v>
      </c>
      <c r="U271" s="1">
        <f t="shared" si="68"/>
        <v>0</v>
      </c>
      <c r="V271" s="1">
        <f t="shared" si="74"/>
        <v>0</v>
      </c>
      <c r="W271" s="1">
        <f t="shared" si="69"/>
        <v>0</v>
      </c>
      <c r="X271" s="1">
        <f t="shared" si="70"/>
        <v>0</v>
      </c>
      <c r="Y271" s="1">
        <f t="shared" si="71"/>
        <v>0</v>
      </c>
      <c r="Z271" s="1">
        <f t="shared" si="72"/>
        <v>0</v>
      </c>
      <c r="AA271" s="1">
        <f t="shared" si="75"/>
        <v>0</v>
      </c>
    </row>
    <row r="272" spans="12:27" x14ac:dyDescent="0.3">
      <c r="L272">
        <v>271</v>
      </c>
      <c r="M272" s="1">
        <f t="shared" si="61"/>
        <v>0</v>
      </c>
      <c r="N272" s="1">
        <f t="shared" si="62"/>
        <v>0</v>
      </c>
      <c r="O272" s="1">
        <f t="shared" si="63"/>
        <v>0</v>
      </c>
      <c r="P272" s="1">
        <f t="shared" si="64"/>
        <v>0</v>
      </c>
      <c r="Q272" s="1">
        <f t="shared" si="73"/>
        <v>0</v>
      </c>
      <c r="R272" s="1">
        <f t="shared" si="65"/>
        <v>0</v>
      </c>
      <c r="S272" s="1">
        <f t="shared" si="66"/>
        <v>0</v>
      </c>
      <c r="T272" s="1">
        <f t="shared" si="67"/>
        <v>0</v>
      </c>
      <c r="U272" s="1">
        <f t="shared" si="68"/>
        <v>0</v>
      </c>
      <c r="V272" s="1">
        <f t="shared" si="74"/>
        <v>0</v>
      </c>
      <c r="W272" s="1">
        <f t="shared" si="69"/>
        <v>0</v>
      </c>
      <c r="X272" s="1">
        <f t="shared" si="70"/>
        <v>0</v>
      </c>
      <c r="Y272" s="1">
        <f t="shared" si="71"/>
        <v>0</v>
      </c>
      <c r="Z272" s="1">
        <f t="shared" si="72"/>
        <v>0</v>
      </c>
      <c r="AA272" s="1">
        <f t="shared" si="75"/>
        <v>0</v>
      </c>
    </row>
    <row r="273" spans="12:27" x14ac:dyDescent="0.3">
      <c r="L273">
        <v>272</v>
      </c>
      <c r="M273" s="1">
        <f t="shared" si="61"/>
        <v>0</v>
      </c>
      <c r="N273" s="1">
        <f t="shared" si="62"/>
        <v>0</v>
      </c>
      <c r="O273" s="1">
        <f t="shared" si="63"/>
        <v>0</v>
      </c>
      <c r="P273" s="1">
        <f t="shared" si="64"/>
        <v>0</v>
      </c>
      <c r="Q273" s="1">
        <f t="shared" si="73"/>
        <v>0</v>
      </c>
      <c r="R273" s="1">
        <f t="shared" si="65"/>
        <v>0</v>
      </c>
      <c r="S273" s="1">
        <f t="shared" si="66"/>
        <v>0</v>
      </c>
      <c r="T273" s="1">
        <f t="shared" si="67"/>
        <v>0</v>
      </c>
      <c r="U273" s="1">
        <f t="shared" si="68"/>
        <v>0</v>
      </c>
      <c r="V273" s="1">
        <f t="shared" si="74"/>
        <v>0</v>
      </c>
      <c r="W273" s="1">
        <f t="shared" si="69"/>
        <v>0</v>
      </c>
      <c r="X273" s="1">
        <f t="shared" si="70"/>
        <v>0</v>
      </c>
      <c r="Y273" s="1">
        <f t="shared" si="71"/>
        <v>0</v>
      </c>
      <c r="Z273" s="1">
        <f t="shared" si="72"/>
        <v>0</v>
      </c>
      <c r="AA273" s="1">
        <f t="shared" si="75"/>
        <v>0</v>
      </c>
    </row>
    <row r="274" spans="12:27" x14ac:dyDescent="0.3">
      <c r="L274">
        <v>273</v>
      </c>
      <c r="M274" s="1">
        <f t="shared" si="61"/>
        <v>0</v>
      </c>
      <c r="N274" s="1">
        <f t="shared" si="62"/>
        <v>0</v>
      </c>
      <c r="O274" s="1">
        <f t="shared" si="63"/>
        <v>0</v>
      </c>
      <c r="P274" s="1">
        <f t="shared" si="64"/>
        <v>0</v>
      </c>
      <c r="Q274" s="1">
        <f t="shared" si="73"/>
        <v>0</v>
      </c>
      <c r="R274" s="1">
        <f t="shared" si="65"/>
        <v>0</v>
      </c>
      <c r="S274" s="1">
        <f t="shared" si="66"/>
        <v>0</v>
      </c>
      <c r="T274" s="1">
        <f t="shared" si="67"/>
        <v>0</v>
      </c>
      <c r="U274" s="1">
        <f t="shared" si="68"/>
        <v>0</v>
      </c>
      <c r="V274" s="1">
        <f t="shared" si="74"/>
        <v>0</v>
      </c>
      <c r="W274" s="1">
        <f t="shared" si="69"/>
        <v>0</v>
      </c>
      <c r="X274" s="1">
        <f t="shared" si="70"/>
        <v>0</v>
      </c>
      <c r="Y274" s="1">
        <f t="shared" si="71"/>
        <v>0</v>
      </c>
      <c r="Z274" s="1">
        <f t="shared" si="72"/>
        <v>0</v>
      </c>
      <c r="AA274" s="1">
        <f t="shared" si="75"/>
        <v>0</v>
      </c>
    </row>
    <row r="275" spans="12:27" x14ac:dyDescent="0.3">
      <c r="L275">
        <v>274</v>
      </c>
      <c r="M275" s="1">
        <f t="shared" si="61"/>
        <v>0</v>
      </c>
      <c r="N275" s="1">
        <f t="shared" si="62"/>
        <v>0</v>
      </c>
      <c r="O275" s="1">
        <f t="shared" si="63"/>
        <v>0</v>
      </c>
      <c r="P275" s="1">
        <f t="shared" si="64"/>
        <v>0</v>
      </c>
      <c r="Q275" s="1">
        <f t="shared" si="73"/>
        <v>0</v>
      </c>
      <c r="R275" s="1">
        <f t="shared" si="65"/>
        <v>0</v>
      </c>
      <c r="S275" s="1">
        <f t="shared" si="66"/>
        <v>0</v>
      </c>
      <c r="T275" s="1">
        <f t="shared" si="67"/>
        <v>0</v>
      </c>
      <c r="U275" s="1">
        <f t="shared" si="68"/>
        <v>0</v>
      </c>
      <c r="V275" s="1">
        <f t="shared" si="74"/>
        <v>0</v>
      </c>
      <c r="W275" s="1">
        <f t="shared" si="69"/>
        <v>0</v>
      </c>
      <c r="X275" s="1">
        <f t="shared" si="70"/>
        <v>0</v>
      </c>
      <c r="Y275" s="1">
        <f t="shared" si="71"/>
        <v>0</v>
      </c>
      <c r="Z275" s="1">
        <f t="shared" si="72"/>
        <v>0</v>
      </c>
      <c r="AA275" s="1">
        <f t="shared" si="75"/>
        <v>0</v>
      </c>
    </row>
    <row r="276" spans="12:27" x14ac:dyDescent="0.3">
      <c r="L276">
        <v>275</v>
      </c>
      <c r="M276" s="1">
        <f t="shared" si="61"/>
        <v>0</v>
      </c>
      <c r="N276" s="1">
        <f t="shared" si="62"/>
        <v>0</v>
      </c>
      <c r="O276" s="1">
        <f t="shared" si="63"/>
        <v>0</v>
      </c>
      <c r="P276" s="1">
        <f t="shared" si="64"/>
        <v>0</v>
      </c>
      <c r="Q276" s="1">
        <f t="shared" si="73"/>
        <v>0</v>
      </c>
      <c r="R276" s="1">
        <f t="shared" si="65"/>
        <v>0</v>
      </c>
      <c r="S276" s="1">
        <f t="shared" si="66"/>
        <v>0</v>
      </c>
      <c r="T276" s="1">
        <f t="shared" si="67"/>
        <v>0</v>
      </c>
      <c r="U276" s="1">
        <f t="shared" si="68"/>
        <v>0</v>
      </c>
      <c r="V276" s="1">
        <f t="shared" si="74"/>
        <v>0</v>
      </c>
      <c r="W276" s="1">
        <f t="shared" si="69"/>
        <v>0</v>
      </c>
      <c r="X276" s="1">
        <f t="shared" si="70"/>
        <v>0</v>
      </c>
      <c r="Y276" s="1">
        <f t="shared" si="71"/>
        <v>0</v>
      </c>
      <c r="Z276" s="1">
        <f t="shared" si="72"/>
        <v>0</v>
      </c>
      <c r="AA276" s="1">
        <f t="shared" si="75"/>
        <v>0</v>
      </c>
    </row>
    <row r="277" spans="12:27" x14ac:dyDescent="0.3">
      <c r="L277">
        <v>276</v>
      </c>
      <c r="M277" s="1">
        <f t="shared" si="61"/>
        <v>0</v>
      </c>
      <c r="N277" s="1">
        <f t="shared" si="62"/>
        <v>0</v>
      </c>
      <c r="O277" s="1">
        <f t="shared" si="63"/>
        <v>0</v>
      </c>
      <c r="P277" s="1">
        <f t="shared" si="64"/>
        <v>0</v>
      </c>
      <c r="Q277" s="1">
        <f t="shared" si="73"/>
        <v>0</v>
      </c>
      <c r="R277" s="1">
        <f t="shared" si="65"/>
        <v>0</v>
      </c>
      <c r="S277" s="1">
        <f t="shared" si="66"/>
        <v>0</v>
      </c>
      <c r="T277" s="1">
        <f t="shared" si="67"/>
        <v>0</v>
      </c>
      <c r="U277" s="1">
        <f t="shared" si="68"/>
        <v>0</v>
      </c>
      <c r="V277" s="1">
        <f t="shared" si="74"/>
        <v>0</v>
      </c>
      <c r="W277" s="1">
        <f t="shared" si="69"/>
        <v>0</v>
      </c>
      <c r="X277" s="1">
        <f t="shared" si="70"/>
        <v>0</v>
      </c>
      <c r="Y277" s="1">
        <f t="shared" si="71"/>
        <v>0</v>
      </c>
      <c r="Z277" s="1">
        <f t="shared" si="72"/>
        <v>0</v>
      </c>
      <c r="AA277" s="1">
        <f t="shared" si="75"/>
        <v>0</v>
      </c>
    </row>
    <row r="278" spans="12:27" x14ac:dyDescent="0.3">
      <c r="L278">
        <v>277</v>
      </c>
      <c r="M278" s="1">
        <f t="shared" si="61"/>
        <v>0</v>
      </c>
      <c r="N278" s="1">
        <f t="shared" si="62"/>
        <v>0</v>
      </c>
      <c r="O278" s="1">
        <f t="shared" si="63"/>
        <v>0</v>
      </c>
      <c r="P278" s="1">
        <f t="shared" si="64"/>
        <v>0</v>
      </c>
      <c r="Q278" s="1">
        <f t="shared" si="73"/>
        <v>0</v>
      </c>
      <c r="R278" s="1">
        <f t="shared" si="65"/>
        <v>0</v>
      </c>
      <c r="S278" s="1">
        <f t="shared" si="66"/>
        <v>0</v>
      </c>
      <c r="T278" s="1">
        <f t="shared" si="67"/>
        <v>0</v>
      </c>
      <c r="U278" s="1">
        <f t="shared" si="68"/>
        <v>0</v>
      </c>
      <c r="V278" s="1">
        <f t="shared" si="74"/>
        <v>0</v>
      </c>
      <c r="W278" s="1">
        <f t="shared" si="69"/>
        <v>0</v>
      </c>
      <c r="X278" s="1">
        <f t="shared" si="70"/>
        <v>0</v>
      </c>
      <c r="Y278" s="1">
        <f t="shared" si="71"/>
        <v>0</v>
      </c>
      <c r="Z278" s="1">
        <f t="shared" si="72"/>
        <v>0</v>
      </c>
      <c r="AA278" s="1">
        <f t="shared" si="75"/>
        <v>0</v>
      </c>
    </row>
    <row r="279" spans="12:27" x14ac:dyDescent="0.3">
      <c r="L279">
        <v>278</v>
      </c>
      <c r="M279" s="1">
        <f t="shared" si="61"/>
        <v>0</v>
      </c>
      <c r="N279" s="1">
        <f t="shared" si="62"/>
        <v>0</v>
      </c>
      <c r="O279" s="1">
        <f t="shared" si="63"/>
        <v>0</v>
      </c>
      <c r="P279" s="1">
        <f t="shared" si="64"/>
        <v>0</v>
      </c>
      <c r="Q279" s="1">
        <f t="shared" si="73"/>
        <v>0</v>
      </c>
      <c r="R279" s="1">
        <f t="shared" si="65"/>
        <v>0</v>
      </c>
      <c r="S279" s="1">
        <f t="shared" si="66"/>
        <v>0</v>
      </c>
      <c r="T279" s="1">
        <f t="shared" si="67"/>
        <v>0</v>
      </c>
      <c r="U279" s="1">
        <f t="shared" si="68"/>
        <v>0</v>
      </c>
      <c r="V279" s="1">
        <f t="shared" si="74"/>
        <v>0</v>
      </c>
      <c r="W279" s="1">
        <f t="shared" si="69"/>
        <v>0</v>
      </c>
      <c r="X279" s="1">
        <f t="shared" si="70"/>
        <v>0</v>
      </c>
      <c r="Y279" s="1">
        <f t="shared" si="71"/>
        <v>0</v>
      </c>
      <c r="Z279" s="1">
        <f t="shared" si="72"/>
        <v>0</v>
      </c>
      <c r="AA279" s="1">
        <f t="shared" si="75"/>
        <v>0</v>
      </c>
    </row>
    <row r="280" spans="12:27" x14ac:dyDescent="0.3">
      <c r="L280">
        <v>279</v>
      </c>
      <c r="M280" s="1">
        <f t="shared" si="61"/>
        <v>0</v>
      </c>
      <c r="N280" s="1">
        <f t="shared" si="62"/>
        <v>0</v>
      </c>
      <c r="O280" s="1">
        <f t="shared" si="63"/>
        <v>0</v>
      </c>
      <c r="P280" s="1">
        <f t="shared" si="64"/>
        <v>0</v>
      </c>
      <c r="Q280" s="1">
        <f t="shared" si="73"/>
        <v>0</v>
      </c>
      <c r="R280" s="1">
        <f t="shared" si="65"/>
        <v>0</v>
      </c>
      <c r="S280" s="1">
        <f t="shared" si="66"/>
        <v>0</v>
      </c>
      <c r="T280" s="1">
        <f t="shared" si="67"/>
        <v>0</v>
      </c>
      <c r="U280" s="1">
        <f t="shared" si="68"/>
        <v>0</v>
      </c>
      <c r="V280" s="1">
        <f t="shared" si="74"/>
        <v>0</v>
      </c>
      <c r="W280" s="1">
        <f t="shared" si="69"/>
        <v>0</v>
      </c>
      <c r="X280" s="1">
        <f t="shared" si="70"/>
        <v>0</v>
      </c>
      <c r="Y280" s="1">
        <f t="shared" si="71"/>
        <v>0</v>
      </c>
      <c r="Z280" s="1">
        <f t="shared" si="72"/>
        <v>0</v>
      </c>
      <c r="AA280" s="1">
        <f t="shared" si="75"/>
        <v>0</v>
      </c>
    </row>
    <row r="281" spans="12:27" x14ac:dyDescent="0.3">
      <c r="L281">
        <v>280</v>
      </c>
      <c r="M281" s="1">
        <f t="shared" si="61"/>
        <v>0</v>
      </c>
      <c r="N281" s="1">
        <f t="shared" si="62"/>
        <v>0</v>
      </c>
      <c r="O281" s="1">
        <f t="shared" si="63"/>
        <v>0</v>
      </c>
      <c r="P281" s="1">
        <f t="shared" si="64"/>
        <v>0</v>
      </c>
      <c r="Q281" s="1">
        <f t="shared" si="73"/>
        <v>0</v>
      </c>
      <c r="R281" s="1">
        <f t="shared" si="65"/>
        <v>0</v>
      </c>
      <c r="S281" s="1">
        <f t="shared" si="66"/>
        <v>0</v>
      </c>
      <c r="T281" s="1">
        <f t="shared" si="67"/>
        <v>0</v>
      </c>
      <c r="U281" s="1">
        <f t="shared" si="68"/>
        <v>0</v>
      </c>
      <c r="V281" s="1">
        <f t="shared" si="74"/>
        <v>0</v>
      </c>
      <c r="W281" s="1">
        <f t="shared" si="69"/>
        <v>0</v>
      </c>
      <c r="X281" s="1">
        <f t="shared" si="70"/>
        <v>0</v>
      </c>
      <c r="Y281" s="1">
        <f t="shared" si="71"/>
        <v>0</v>
      </c>
      <c r="Z281" s="1">
        <f t="shared" si="72"/>
        <v>0</v>
      </c>
      <c r="AA281" s="1">
        <f t="shared" si="75"/>
        <v>0</v>
      </c>
    </row>
    <row r="282" spans="12:27" x14ac:dyDescent="0.3">
      <c r="L282">
        <v>281</v>
      </c>
      <c r="M282" s="1">
        <f t="shared" si="61"/>
        <v>0</v>
      </c>
      <c r="N282" s="1">
        <f t="shared" si="62"/>
        <v>0</v>
      </c>
      <c r="O282" s="1">
        <f t="shared" si="63"/>
        <v>0</v>
      </c>
      <c r="P282" s="1">
        <f t="shared" si="64"/>
        <v>0</v>
      </c>
      <c r="Q282" s="1">
        <f t="shared" si="73"/>
        <v>0</v>
      </c>
      <c r="R282" s="1">
        <f t="shared" si="65"/>
        <v>0</v>
      </c>
      <c r="S282" s="1">
        <f t="shared" si="66"/>
        <v>0</v>
      </c>
      <c r="T282" s="1">
        <f t="shared" si="67"/>
        <v>0</v>
      </c>
      <c r="U282" s="1">
        <f t="shared" si="68"/>
        <v>0</v>
      </c>
      <c r="V282" s="1">
        <f t="shared" si="74"/>
        <v>0</v>
      </c>
      <c r="W282" s="1">
        <f t="shared" si="69"/>
        <v>0</v>
      </c>
      <c r="X282" s="1">
        <f t="shared" si="70"/>
        <v>0</v>
      </c>
      <c r="Y282" s="1">
        <f t="shared" si="71"/>
        <v>0</v>
      </c>
      <c r="Z282" s="1">
        <f t="shared" si="72"/>
        <v>0</v>
      </c>
      <c r="AA282" s="1">
        <f t="shared" si="75"/>
        <v>0</v>
      </c>
    </row>
    <row r="283" spans="12:27" x14ac:dyDescent="0.3">
      <c r="L283">
        <v>282</v>
      </c>
      <c r="M283" s="1">
        <f t="shared" si="61"/>
        <v>0</v>
      </c>
      <c r="N283" s="1">
        <f t="shared" si="62"/>
        <v>0</v>
      </c>
      <c r="O283" s="1">
        <f t="shared" si="63"/>
        <v>0</v>
      </c>
      <c r="P283" s="1">
        <f t="shared" si="64"/>
        <v>0</v>
      </c>
      <c r="Q283" s="1">
        <f t="shared" si="73"/>
        <v>0</v>
      </c>
      <c r="R283" s="1">
        <f t="shared" si="65"/>
        <v>0</v>
      </c>
      <c r="S283" s="1">
        <f t="shared" si="66"/>
        <v>0</v>
      </c>
      <c r="T283" s="1">
        <f t="shared" si="67"/>
        <v>0</v>
      </c>
      <c r="U283" s="1">
        <f t="shared" si="68"/>
        <v>0</v>
      </c>
      <c r="V283" s="1">
        <f t="shared" si="74"/>
        <v>0</v>
      </c>
      <c r="W283" s="1">
        <f t="shared" si="69"/>
        <v>0</v>
      </c>
      <c r="X283" s="1">
        <f t="shared" si="70"/>
        <v>0</v>
      </c>
      <c r="Y283" s="1">
        <f t="shared" si="71"/>
        <v>0</v>
      </c>
      <c r="Z283" s="1">
        <f t="shared" si="72"/>
        <v>0</v>
      </c>
      <c r="AA283" s="1">
        <f t="shared" si="75"/>
        <v>0</v>
      </c>
    </row>
    <row r="284" spans="12:27" x14ac:dyDescent="0.3">
      <c r="L284">
        <v>283</v>
      </c>
      <c r="M284" s="1">
        <f t="shared" si="61"/>
        <v>0</v>
      </c>
      <c r="N284" s="1">
        <f t="shared" si="62"/>
        <v>0</v>
      </c>
      <c r="O284" s="1">
        <f t="shared" si="63"/>
        <v>0</v>
      </c>
      <c r="P284" s="1">
        <f t="shared" si="64"/>
        <v>0</v>
      </c>
      <c r="Q284" s="1">
        <f t="shared" si="73"/>
        <v>0</v>
      </c>
      <c r="R284" s="1">
        <f t="shared" si="65"/>
        <v>0</v>
      </c>
      <c r="S284" s="1">
        <f t="shared" si="66"/>
        <v>0</v>
      </c>
      <c r="T284" s="1">
        <f t="shared" si="67"/>
        <v>0</v>
      </c>
      <c r="U284" s="1">
        <f t="shared" si="68"/>
        <v>0</v>
      </c>
      <c r="V284" s="1">
        <f t="shared" si="74"/>
        <v>0</v>
      </c>
      <c r="W284" s="1">
        <f t="shared" si="69"/>
        <v>0</v>
      </c>
      <c r="X284" s="1">
        <f t="shared" si="70"/>
        <v>0</v>
      </c>
      <c r="Y284" s="1">
        <f t="shared" si="71"/>
        <v>0</v>
      </c>
      <c r="Z284" s="1">
        <f t="shared" si="72"/>
        <v>0</v>
      </c>
      <c r="AA284" s="1">
        <f t="shared" si="75"/>
        <v>0</v>
      </c>
    </row>
    <row r="285" spans="12:27" x14ac:dyDescent="0.3">
      <c r="L285">
        <v>284</v>
      </c>
      <c r="M285" s="1">
        <f t="shared" si="61"/>
        <v>0</v>
      </c>
      <c r="N285" s="1">
        <f t="shared" si="62"/>
        <v>0</v>
      </c>
      <c r="O285" s="1">
        <f t="shared" si="63"/>
        <v>0</v>
      </c>
      <c r="P285" s="1">
        <f t="shared" si="64"/>
        <v>0</v>
      </c>
      <c r="Q285" s="1">
        <f t="shared" si="73"/>
        <v>0</v>
      </c>
      <c r="R285" s="1">
        <f t="shared" si="65"/>
        <v>0</v>
      </c>
      <c r="S285" s="1">
        <f t="shared" si="66"/>
        <v>0</v>
      </c>
      <c r="T285" s="1">
        <f t="shared" si="67"/>
        <v>0</v>
      </c>
      <c r="U285" s="1">
        <f t="shared" si="68"/>
        <v>0</v>
      </c>
      <c r="V285" s="1">
        <f t="shared" si="74"/>
        <v>0</v>
      </c>
      <c r="W285" s="1">
        <f t="shared" si="69"/>
        <v>0</v>
      </c>
      <c r="X285" s="1">
        <f t="shared" si="70"/>
        <v>0</v>
      </c>
      <c r="Y285" s="1">
        <f t="shared" si="71"/>
        <v>0</v>
      </c>
      <c r="Z285" s="1">
        <f t="shared" si="72"/>
        <v>0</v>
      </c>
      <c r="AA285" s="1">
        <f t="shared" si="75"/>
        <v>0</v>
      </c>
    </row>
    <row r="286" spans="12:27" x14ac:dyDescent="0.3">
      <c r="L286">
        <v>285</v>
      </c>
      <c r="M286" s="1">
        <f t="shared" si="61"/>
        <v>0</v>
      </c>
      <c r="N286" s="1">
        <f t="shared" si="62"/>
        <v>0</v>
      </c>
      <c r="O286" s="1">
        <f t="shared" si="63"/>
        <v>0</v>
      </c>
      <c r="P286" s="1">
        <f t="shared" si="64"/>
        <v>0</v>
      </c>
      <c r="Q286" s="1">
        <f t="shared" si="73"/>
        <v>0</v>
      </c>
      <c r="R286" s="1">
        <f t="shared" si="65"/>
        <v>0</v>
      </c>
      <c r="S286" s="1">
        <f t="shared" si="66"/>
        <v>0</v>
      </c>
      <c r="T286" s="1">
        <f t="shared" si="67"/>
        <v>0</v>
      </c>
      <c r="U286" s="1">
        <f t="shared" si="68"/>
        <v>0</v>
      </c>
      <c r="V286" s="1">
        <f t="shared" si="74"/>
        <v>0</v>
      </c>
      <c r="W286" s="1">
        <f t="shared" si="69"/>
        <v>0</v>
      </c>
      <c r="X286" s="1">
        <f t="shared" si="70"/>
        <v>0</v>
      </c>
      <c r="Y286" s="1">
        <f t="shared" si="71"/>
        <v>0</v>
      </c>
      <c r="Z286" s="1">
        <f t="shared" si="72"/>
        <v>0</v>
      </c>
      <c r="AA286" s="1">
        <f t="shared" si="75"/>
        <v>0</v>
      </c>
    </row>
    <row r="287" spans="12:27" x14ac:dyDescent="0.3">
      <c r="L287">
        <v>286</v>
      </c>
      <c r="M287" s="1">
        <f t="shared" si="61"/>
        <v>0</v>
      </c>
      <c r="N287" s="1">
        <f t="shared" si="62"/>
        <v>0</v>
      </c>
      <c r="O287" s="1">
        <f t="shared" si="63"/>
        <v>0</v>
      </c>
      <c r="P287" s="1">
        <f t="shared" si="64"/>
        <v>0</v>
      </c>
      <c r="Q287" s="1">
        <f t="shared" si="73"/>
        <v>0</v>
      </c>
      <c r="R287" s="1">
        <f t="shared" si="65"/>
        <v>0</v>
      </c>
      <c r="S287" s="1">
        <f t="shared" si="66"/>
        <v>0</v>
      </c>
      <c r="T287" s="1">
        <f t="shared" si="67"/>
        <v>0</v>
      </c>
      <c r="U287" s="1">
        <f t="shared" si="68"/>
        <v>0</v>
      </c>
      <c r="V287" s="1">
        <f t="shared" si="74"/>
        <v>0</v>
      </c>
      <c r="W287" s="1">
        <f t="shared" si="69"/>
        <v>0</v>
      </c>
      <c r="X287" s="1">
        <f t="shared" si="70"/>
        <v>0</v>
      </c>
      <c r="Y287" s="1">
        <f t="shared" si="71"/>
        <v>0</v>
      </c>
      <c r="Z287" s="1">
        <f t="shared" si="72"/>
        <v>0</v>
      </c>
      <c r="AA287" s="1">
        <f t="shared" si="75"/>
        <v>0</v>
      </c>
    </row>
    <row r="288" spans="12:27" x14ac:dyDescent="0.3">
      <c r="L288">
        <v>287</v>
      </c>
      <c r="M288" s="1">
        <f t="shared" si="61"/>
        <v>0</v>
      </c>
      <c r="N288" s="1">
        <f t="shared" si="62"/>
        <v>0</v>
      </c>
      <c r="O288" s="1">
        <f t="shared" si="63"/>
        <v>0</v>
      </c>
      <c r="P288" s="1">
        <f t="shared" si="64"/>
        <v>0</v>
      </c>
      <c r="Q288" s="1">
        <f t="shared" si="73"/>
        <v>0</v>
      </c>
      <c r="R288" s="1">
        <f t="shared" si="65"/>
        <v>0</v>
      </c>
      <c r="S288" s="1">
        <f t="shared" si="66"/>
        <v>0</v>
      </c>
      <c r="T288" s="1">
        <f t="shared" si="67"/>
        <v>0</v>
      </c>
      <c r="U288" s="1">
        <f t="shared" si="68"/>
        <v>0</v>
      </c>
      <c r="V288" s="1">
        <f t="shared" si="74"/>
        <v>0</v>
      </c>
      <c r="W288" s="1">
        <f t="shared" si="69"/>
        <v>0</v>
      </c>
      <c r="X288" s="1">
        <f t="shared" si="70"/>
        <v>0</v>
      </c>
      <c r="Y288" s="1">
        <f t="shared" si="71"/>
        <v>0</v>
      </c>
      <c r="Z288" s="1">
        <f t="shared" si="72"/>
        <v>0</v>
      </c>
      <c r="AA288" s="1">
        <f t="shared" si="75"/>
        <v>0</v>
      </c>
    </row>
    <row r="289" spans="12:27" x14ac:dyDescent="0.3">
      <c r="L289">
        <v>288</v>
      </c>
      <c r="M289" s="1">
        <f t="shared" si="61"/>
        <v>0</v>
      </c>
      <c r="N289" s="1">
        <f t="shared" si="62"/>
        <v>0</v>
      </c>
      <c r="O289" s="1">
        <f t="shared" si="63"/>
        <v>0</v>
      </c>
      <c r="P289" s="1">
        <f t="shared" si="64"/>
        <v>0</v>
      </c>
      <c r="Q289" s="1">
        <f t="shared" si="73"/>
        <v>0</v>
      </c>
      <c r="R289" s="1">
        <f t="shared" si="65"/>
        <v>0</v>
      </c>
      <c r="S289" s="1">
        <f t="shared" si="66"/>
        <v>0</v>
      </c>
      <c r="T289" s="1">
        <f t="shared" si="67"/>
        <v>0</v>
      </c>
      <c r="U289" s="1">
        <f t="shared" si="68"/>
        <v>0</v>
      </c>
      <c r="V289" s="1">
        <f t="shared" si="74"/>
        <v>0</v>
      </c>
      <c r="W289" s="1">
        <f t="shared" si="69"/>
        <v>0</v>
      </c>
      <c r="X289" s="1">
        <f t="shared" si="70"/>
        <v>0</v>
      </c>
      <c r="Y289" s="1">
        <f t="shared" si="71"/>
        <v>0</v>
      </c>
      <c r="Z289" s="1">
        <f t="shared" si="72"/>
        <v>0</v>
      </c>
      <c r="AA289" s="1">
        <f t="shared" si="75"/>
        <v>0</v>
      </c>
    </row>
    <row r="290" spans="12:27" x14ac:dyDescent="0.3">
      <c r="L290">
        <v>289</v>
      </c>
      <c r="M290" s="1">
        <f t="shared" si="61"/>
        <v>0</v>
      </c>
      <c r="N290" s="1">
        <f t="shared" si="62"/>
        <v>0</v>
      </c>
      <c r="O290" s="1">
        <f t="shared" si="63"/>
        <v>0</v>
      </c>
      <c r="P290" s="1">
        <f t="shared" si="64"/>
        <v>0</v>
      </c>
      <c r="Q290" s="1">
        <f t="shared" si="73"/>
        <v>0</v>
      </c>
      <c r="R290" s="1">
        <f t="shared" si="65"/>
        <v>0</v>
      </c>
      <c r="S290" s="1">
        <f t="shared" si="66"/>
        <v>0</v>
      </c>
      <c r="T290" s="1">
        <f t="shared" si="67"/>
        <v>0</v>
      </c>
      <c r="U290" s="1">
        <f t="shared" si="68"/>
        <v>0</v>
      </c>
      <c r="V290" s="1">
        <f t="shared" si="74"/>
        <v>0</v>
      </c>
      <c r="W290" s="1">
        <f t="shared" si="69"/>
        <v>0</v>
      </c>
      <c r="X290" s="1">
        <f t="shared" si="70"/>
        <v>0</v>
      </c>
      <c r="Y290" s="1">
        <f t="shared" si="71"/>
        <v>0</v>
      </c>
      <c r="Z290" s="1">
        <f t="shared" si="72"/>
        <v>0</v>
      </c>
      <c r="AA290" s="1">
        <f t="shared" si="75"/>
        <v>0</v>
      </c>
    </row>
    <row r="291" spans="12:27" x14ac:dyDescent="0.3">
      <c r="L291">
        <v>290</v>
      </c>
      <c r="M291" s="1">
        <f t="shared" si="61"/>
        <v>0</v>
      </c>
      <c r="N291" s="1">
        <f t="shared" si="62"/>
        <v>0</v>
      </c>
      <c r="O291" s="1">
        <f t="shared" si="63"/>
        <v>0</v>
      </c>
      <c r="P291" s="1">
        <f t="shared" si="64"/>
        <v>0</v>
      </c>
      <c r="Q291" s="1">
        <f t="shared" si="73"/>
        <v>0</v>
      </c>
      <c r="R291" s="1">
        <f t="shared" si="65"/>
        <v>0</v>
      </c>
      <c r="S291" s="1">
        <f t="shared" si="66"/>
        <v>0</v>
      </c>
      <c r="T291" s="1">
        <f t="shared" si="67"/>
        <v>0</v>
      </c>
      <c r="U291" s="1">
        <f t="shared" si="68"/>
        <v>0</v>
      </c>
      <c r="V291" s="1">
        <f t="shared" si="74"/>
        <v>0</v>
      </c>
      <c r="W291" s="1">
        <f t="shared" si="69"/>
        <v>0</v>
      </c>
      <c r="X291" s="1">
        <f t="shared" si="70"/>
        <v>0</v>
      </c>
      <c r="Y291" s="1">
        <f t="shared" si="71"/>
        <v>0</v>
      </c>
      <c r="Z291" s="1">
        <f t="shared" si="72"/>
        <v>0</v>
      </c>
      <c r="AA291" s="1">
        <f t="shared" si="75"/>
        <v>0</v>
      </c>
    </row>
    <row r="292" spans="12:27" x14ac:dyDescent="0.3">
      <c r="L292">
        <v>291</v>
      </c>
      <c r="M292" s="1">
        <f t="shared" si="61"/>
        <v>0</v>
      </c>
      <c r="N292" s="1">
        <f t="shared" si="62"/>
        <v>0</v>
      </c>
      <c r="O292" s="1">
        <f t="shared" si="63"/>
        <v>0</v>
      </c>
      <c r="P292" s="1">
        <f t="shared" si="64"/>
        <v>0</v>
      </c>
      <c r="Q292" s="1">
        <f t="shared" si="73"/>
        <v>0</v>
      </c>
      <c r="R292" s="1">
        <f t="shared" si="65"/>
        <v>0</v>
      </c>
      <c r="S292" s="1">
        <f t="shared" si="66"/>
        <v>0</v>
      </c>
      <c r="T292" s="1">
        <f t="shared" si="67"/>
        <v>0</v>
      </c>
      <c r="U292" s="1">
        <f t="shared" si="68"/>
        <v>0</v>
      </c>
      <c r="V292" s="1">
        <f t="shared" si="74"/>
        <v>0</v>
      </c>
      <c r="W292" s="1">
        <f t="shared" si="69"/>
        <v>0</v>
      </c>
      <c r="X292" s="1">
        <f t="shared" si="70"/>
        <v>0</v>
      </c>
      <c r="Y292" s="1">
        <f t="shared" si="71"/>
        <v>0</v>
      </c>
      <c r="Z292" s="1">
        <f t="shared" si="72"/>
        <v>0</v>
      </c>
      <c r="AA292" s="1">
        <f t="shared" si="75"/>
        <v>0</v>
      </c>
    </row>
    <row r="293" spans="12:27" x14ac:dyDescent="0.3">
      <c r="L293">
        <v>292</v>
      </c>
      <c r="M293" s="1">
        <f t="shared" si="61"/>
        <v>0</v>
      </c>
      <c r="N293" s="1">
        <f t="shared" si="62"/>
        <v>0</v>
      </c>
      <c r="O293" s="1">
        <f t="shared" si="63"/>
        <v>0</v>
      </c>
      <c r="P293" s="1">
        <f t="shared" si="64"/>
        <v>0</v>
      </c>
      <c r="Q293" s="1">
        <f t="shared" si="73"/>
        <v>0</v>
      </c>
      <c r="R293" s="1">
        <f t="shared" si="65"/>
        <v>0</v>
      </c>
      <c r="S293" s="1">
        <f t="shared" si="66"/>
        <v>0</v>
      </c>
      <c r="T293" s="1">
        <f t="shared" si="67"/>
        <v>0</v>
      </c>
      <c r="U293" s="1">
        <f t="shared" si="68"/>
        <v>0</v>
      </c>
      <c r="V293" s="1">
        <f t="shared" si="74"/>
        <v>0</v>
      </c>
      <c r="W293" s="1">
        <f t="shared" si="69"/>
        <v>0</v>
      </c>
      <c r="X293" s="1">
        <f t="shared" si="70"/>
        <v>0</v>
      </c>
      <c r="Y293" s="1">
        <f t="shared" si="71"/>
        <v>0</v>
      </c>
      <c r="Z293" s="1">
        <f t="shared" si="72"/>
        <v>0</v>
      </c>
      <c r="AA293" s="1">
        <f t="shared" si="75"/>
        <v>0</v>
      </c>
    </row>
    <row r="294" spans="12:27" x14ac:dyDescent="0.3">
      <c r="L294">
        <v>293</v>
      </c>
      <c r="M294" s="1">
        <f t="shared" si="61"/>
        <v>0</v>
      </c>
      <c r="N294" s="1">
        <f t="shared" si="62"/>
        <v>0</v>
      </c>
      <c r="O294" s="1">
        <f t="shared" si="63"/>
        <v>0</v>
      </c>
      <c r="P294" s="1">
        <f t="shared" si="64"/>
        <v>0</v>
      </c>
      <c r="Q294" s="1">
        <f t="shared" si="73"/>
        <v>0</v>
      </c>
      <c r="R294" s="1">
        <f t="shared" si="65"/>
        <v>0</v>
      </c>
      <c r="S294" s="1">
        <f t="shared" si="66"/>
        <v>0</v>
      </c>
      <c r="T294" s="1">
        <f t="shared" si="67"/>
        <v>0</v>
      </c>
      <c r="U294" s="1">
        <f t="shared" si="68"/>
        <v>0</v>
      </c>
      <c r="V294" s="1">
        <f t="shared" si="74"/>
        <v>0</v>
      </c>
      <c r="W294" s="1">
        <f t="shared" si="69"/>
        <v>0</v>
      </c>
      <c r="X294" s="1">
        <f t="shared" si="70"/>
        <v>0</v>
      </c>
      <c r="Y294" s="1">
        <f t="shared" si="71"/>
        <v>0</v>
      </c>
      <c r="Z294" s="1">
        <f t="shared" si="72"/>
        <v>0</v>
      </c>
      <c r="AA294" s="1">
        <f t="shared" si="75"/>
        <v>0</v>
      </c>
    </row>
    <row r="295" spans="12:27" x14ac:dyDescent="0.3">
      <c r="L295">
        <v>294</v>
      </c>
      <c r="M295" s="1">
        <f t="shared" si="61"/>
        <v>0</v>
      </c>
      <c r="N295" s="1">
        <f t="shared" si="62"/>
        <v>0</v>
      </c>
      <c r="O295" s="1">
        <f t="shared" si="63"/>
        <v>0</v>
      </c>
      <c r="P295" s="1">
        <f t="shared" si="64"/>
        <v>0</v>
      </c>
      <c r="Q295" s="1">
        <f t="shared" si="73"/>
        <v>0</v>
      </c>
      <c r="R295" s="1">
        <f t="shared" si="65"/>
        <v>0</v>
      </c>
      <c r="S295" s="1">
        <f t="shared" si="66"/>
        <v>0</v>
      </c>
      <c r="T295" s="1">
        <f t="shared" si="67"/>
        <v>0</v>
      </c>
      <c r="U295" s="1">
        <f t="shared" si="68"/>
        <v>0</v>
      </c>
      <c r="V295" s="1">
        <f t="shared" si="74"/>
        <v>0</v>
      </c>
      <c r="W295" s="1">
        <f t="shared" si="69"/>
        <v>0</v>
      </c>
      <c r="X295" s="1">
        <f t="shared" si="70"/>
        <v>0</v>
      </c>
      <c r="Y295" s="1">
        <f t="shared" si="71"/>
        <v>0</v>
      </c>
      <c r="Z295" s="1">
        <f t="shared" si="72"/>
        <v>0</v>
      </c>
      <c r="AA295" s="1">
        <f t="shared" si="75"/>
        <v>0</v>
      </c>
    </row>
    <row r="296" spans="12:27" x14ac:dyDescent="0.3">
      <c r="L296">
        <v>295</v>
      </c>
      <c r="M296" s="1">
        <f t="shared" si="61"/>
        <v>0</v>
      </c>
      <c r="N296" s="1">
        <f t="shared" si="62"/>
        <v>0</v>
      </c>
      <c r="O296" s="1">
        <f t="shared" si="63"/>
        <v>0</v>
      </c>
      <c r="P296" s="1">
        <f t="shared" si="64"/>
        <v>0</v>
      </c>
      <c r="Q296" s="1">
        <f t="shared" si="73"/>
        <v>0</v>
      </c>
      <c r="R296" s="1">
        <f t="shared" si="65"/>
        <v>0</v>
      </c>
      <c r="S296" s="1">
        <f t="shared" si="66"/>
        <v>0</v>
      </c>
      <c r="T296" s="1">
        <f t="shared" si="67"/>
        <v>0</v>
      </c>
      <c r="U296" s="1">
        <f t="shared" si="68"/>
        <v>0</v>
      </c>
      <c r="V296" s="1">
        <f t="shared" si="74"/>
        <v>0</v>
      </c>
      <c r="W296" s="1">
        <f t="shared" si="69"/>
        <v>0</v>
      </c>
      <c r="X296" s="1">
        <f t="shared" si="70"/>
        <v>0</v>
      </c>
      <c r="Y296" s="1">
        <f t="shared" si="71"/>
        <v>0</v>
      </c>
      <c r="Z296" s="1">
        <f t="shared" si="72"/>
        <v>0</v>
      </c>
      <c r="AA296" s="1">
        <f t="shared" si="75"/>
        <v>0</v>
      </c>
    </row>
    <row r="297" spans="12:27" x14ac:dyDescent="0.3">
      <c r="L297">
        <v>296</v>
      </c>
      <c r="M297" s="1">
        <f t="shared" si="61"/>
        <v>0</v>
      </c>
      <c r="N297" s="1">
        <f t="shared" si="62"/>
        <v>0</v>
      </c>
      <c r="O297" s="1">
        <f t="shared" si="63"/>
        <v>0</v>
      </c>
      <c r="P297" s="1">
        <f t="shared" si="64"/>
        <v>0</v>
      </c>
      <c r="Q297" s="1">
        <f t="shared" si="73"/>
        <v>0</v>
      </c>
      <c r="R297" s="1">
        <f t="shared" si="65"/>
        <v>0</v>
      </c>
      <c r="S297" s="1">
        <f t="shared" si="66"/>
        <v>0</v>
      </c>
      <c r="T297" s="1">
        <f t="shared" si="67"/>
        <v>0</v>
      </c>
      <c r="U297" s="1">
        <f t="shared" si="68"/>
        <v>0</v>
      </c>
      <c r="V297" s="1">
        <f t="shared" si="74"/>
        <v>0</v>
      </c>
      <c r="W297" s="1">
        <f t="shared" si="69"/>
        <v>0</v>
      </c>
      <c r="X297" s="1">
        <f t="shared" si="70"/>
        <v>0</v>
      </c>
      <c r="Y297" s="1">
        <f t="shared" si="71"/>
        <v>0</v>
      </c>
      <c r="Z297" s="1">
        <f t="shared" si="72"/>
        <v>0</v>
      </c>
      <c r="AA297" s="1">
        <f t="shared" si="75"/>
        <v>0</v>
      </c>
    </row>
    <row r="298" spans="12:27" x14ac:dyDescent="0.3">
      <c r="L298">
        <v>297</v>
      </c>
      <c r="M298" s="1">
        <f t="shared" si="61"/>
        <v>0</v>
      </c>
      <c r="N298" s="1">
        <f t="shared" si="62"/>
        <v>0</v>
      </c>
      <c r="O298" s="1">
        <f t="shared" si="63"/>
        <v>0</v>
      </c>
      <c r="P298" s="1">
        <f t="shared" si="64"/>
        <v>0</v>
      </c>
      <c r="Q298" s="1">
        <f t="shared" si="73"/>
        <v>0</v>
      </c>
      <c r="R298" s="1">
        <f t="shared" si="65"/>
        <v>0</v>
      </c>
      <c r="S298" s="1">
        <f t="shared" si="66"/>
        <v>0</v>
      </c>
      <c r="T298" s="1">
        <f t="shared" si="67"/>
        <v>0</v>
      </c>
      <c r="U298" s="1">
        <f t="shared" si="68"/>
        <v>0</v>
      </c>
      <c r="V298" s="1">
        <f t="shared" si="74"/>
        <v>0</v>
      </c>
      <c r="W298" s="1">
        <f t="shared" si="69"/>
        <v>0</v>
      </c>
      <c r="X298" s="1">
        <f t="shared" si="70"/>
        <v>0</v>
      </c>
      <c r="Y298" s="1">
        <f t="shared" si="71"/>
        <v>0</v>
      </c>
      <c r="Z298" s="1">
        <f t="shared" si="72"/>
        <v>0</v>
      </c>
      <c r="AA298" s="1">
        <f t="shared" si="75"/>
        <v>0</v>
      </c>
    </row>
    <row r="299" spans="12:27" x14ac:dyDescent="0.3">
      <c r="L299">
        <v>298</v>
      </c>
      <c r="M299" s="1">
        <f t="shared" si="61"/>
        <v>0</v>
      </c>
      <c r="N299" s="1">
        <f t="shared" si="62"/>
        <v>0</v>
      </c>
      <c r="O299" s="1">
        <f t="shared" si="63"/>
        <v>0</v>
      </c>
      <c r="P299" s="1">
        <f t="shared" si="64"/>
        <v>0</v>
      </c>
      <c r="Q299" s="1">
        <f t="shared" si="73"/>
        <v>0</v>
      </c>
      <c r="R299" s="1">
        <f t="shared" si="65"/>
        <v>0</v>
      </c>
      <c r="S299" s="1">
        <f t="shared" si="66"/>
        <v>0</v>
      </c>
      <c r="T299" s="1">
        <f t="shared" si="67"/>
        <v>0</v>
      </c>
      <c r="U299" s="1">
        <f t="shared" si="68"/>
        <v>0</v>
      </c>
      <c r="V299" s="1">
        <f t="shared" si="74"/>
        <v>0</v>
      </c>
      <c r="W299" s="1">
        <f t="shared" si="69"/>
        <v>0</v>
      </c>
      <c r="X299" s="1">
        <f t="shared" si="70"/>
        <v>0</v>
      </c>
      <c r="Y299" s="1">
        <f t="shared" si="71"/>
        <v>0</v>
      </c>
      <c r="Z299" s="1">
        <f t="shared" si="72"/>
        <v>0</v>
      </c>
      <c r="AA299" s="1">
        <f t="shared" si="75"/>
        <v>0</v>
      </c>
    </row>
    <row r="300" spans="12:27" x14ac:dyDescent="0.3">
      <c r="L300">
        <v>299</v>
      </c>
      <c r="M300" s="1">
        <f t="shared" si="61"/>
        <v>0</v>
      </c>
      <c r="N300" s="1">
        <f t="shared" si="62"/>
        <v>0</v>
      </c>
      <c r="O300" s="1">
        <f t="shared" si="63"/>
        <v>0</v>
      </c>
      <c r="P300" s="1">
        <f t="shared" si="64"/>
        <v>0</v>
      </c>
      <c r="Q300" s="1">
        <f t="shared" si="73"/>
        <v>0</v>
      </c>
      <c r="R300" s="1">
        <f t="shared" si="65"/>
        <v>0</v>
      </c>
      <c r="S300" s="1">
        <f t="shared" si="66"/>
        <v>0</v>
      </c>
      <c r="T300" s="1">
        <f t="shared" si="67"/>
        <v>0</v>
      </c>
      <c r="U300" s="1">
        <f t="shared" si="68"/>
        <v>0</v>
      </c>
      <c r="V300" s="1">
        <f t="shared" si="74"/>
        <v>0</v>
      </c>
      <c r="W300" s="1">
        <f t="shared" si="69"/>
        <v>0</v>
      </c>
      <c r="X300" s="1">
        <f t="shared" si="70"/>
        <v>0</v>
      </c>
      <c r="Y300" s="1">
        <f t="shared" si="71"/>
        <v>0</v>
      </c>
      <c r="Z300" s="1">
        <f t="shared" si="72"/>
        <v>0</v>
      </c>
      <c r="AA300" s="1">
        <f t="shared" si="75"/>
        <v>0</v>
      </c>
    </row>
    <row r="301" spans="12:27" x14ac:dyDescent="0.3">
      <c r="L301">
        <v>300</v>
      </c>
      <c r="M301" s="1">
        <f t="shared" si="61"/>
        <v>0</v>
      </c>
      <c r="N301" s="1">
        <f t="shared" si="62"/>
        <v>0</v>
      </c>
      <c r="O301" s="1">
        <f t="shared" si="63"/>
        <v>0</v>
      </c>
      <c r="P301" s="1">
        <f t="shared" si="64"/>
        <v>0</v>
      </c>
      <c r="Q301" s="1">
        <f t="shared" si="73"/>
        <v>0</v>
      </c>
      <c r="R301" s="1">
        <f t="shared" si="65"/>
        <v>0</v>
      </c>
      <c r="S301" s="1">
        <f t="shared" si="66"/>
        <v>0</v>
      </c>
      <c r="T301" s="1">
        <f t="shared" si="67"/>
        <v>0</v>
      </c>
      <c r="U301" s="1">
        <f t="shared" si="68"/>
        <v>0</v>
      </c>
      <c r="V301" s="1">
        <f t="shared" si="74"/>
        <v>0</v>
      </c>
      <c r="W301" s="1">
        <f t="shared" si="69"/>
        <v>0</v>
      </c>
      <c r="X301" s="1">
        <f t="shared" si="70"/>
        <v>0</v>
      </c>
      <c r="Y301" s="1">
        <f t="shared" si="71"/>
        <v>0</v>
      </c>
      <c r="Z301" s="1">
        <f t="shared" si="72"/>
        <v>0</v>
      </c>
      <c r="AA301" s="1">
        <f t="shared" si="75"/>
        <v>0</v>
      </c>
    </row>
    <row r="302" spans="12:27" x14ac:dyDescent="0.3">
      <c r="L302">
        <v>301</v>
      </c>
      <c r="M302" s="1">
        <f t="shared" si="61"/>
        <v>0</v>
      </c>
      <c r="N302" s="1">
        <f t="shared" si="62"/>
        <v>0</v>
      </c>
      <c r="O302" s="1">
        <f t="shared" si="63"/>
        <v>0</v>
      </c>
      <c r="P302" s="1">
        <f t="shared" si="64"/>
        <v>0</v>
      </c>
      <c r="Q302" s="1">
        <f t="shared" si="73"/>
        <v>0</v>
      </c>
      <c r="R302" s="1">
        <f t="shared" si="65"/>
        <v>0</v>
      </c>
      <c r="S302" s="1">
        <f t="shared" si="66"/>
        <v>0</v>
      </c>
      <c r="T302" s="1">
        <f t="shared" si="67"/>
        <v>0</v>
      </c>
      <c r="U302" s="1">
        <f t="shared" si="68"/>
        <v>0</v>
      </c>
      <c r="V302" s="1">
        <f t="shared" si="74"/>
        <v>0</v>
      </c>
      <c r="W302" s="1">
        <f t="shared" si="69"/>
        <v>0</v>
      </c>
      <c r="X302" s="1">
        <f t="shared" si="70"/>
        <v>0</v>
      </c>
      <c r="Y302" s="1">
        <f t="shared" si="71"/>
        <v>0</v>
      </c>
      <c r="Z302" s="1">
        <f t="shared" si="72"/>
        <v>0</v>
      </c>
      <c r="AA302" s="1">
        <f t="shared" si="75"/>
        <v>0</v>
      </c>
    </row>
    <row r="303" spans="12:27" x14ac:dyDescent="0.3">
      <c r="L303">
        <v>302</v>
      </c>
      <c r="M303" s="1">
        <f t="shared" si="61"/>
        <v>0</v>
      </c>
      <c r="N303" s="1">
        <f t="shared" si="62"/>
        <v>0</v>
      </c>
      <c r="O303" s="1">
        <f t="shared" si="63"/>
        <v>0</v>
      </c>
      <c r="P303" s="1">
        <f t="shared" si="64"/>
        <v>0</v>
      </c>
      <c r="Q303" s="1">
        <f t="shared" si="73"/>
        <v>0</v>
      </c>
      <c r="R303" s="1">
        <f t="shared" si="65"/>
        <v>0</v>
      </c>
      <c r="S303" s="1">
        <f t="shared" si="66"/>
        <v>0</v>
      </c>
      <c r="T303" s="1">
        <f t="shared" si="67"/>
        <v>0</v>
      </c>
      <c r="U303" s="1">
        <f t="shared" si="68"/>
        <v>0</v>
      </c>
      <c r="V303" s="1">
        <f t="shared" si="74"/>
        <v>0</v>
      </c>
      <c r="W303" s="1">
        <f t="shared" si="69"/>
        <v>0</v>
      </c>
      <c r="X303" s="1">
        <f t="shared" si="70"/>
        <v>0</v>
      </c>
      <c r="Y303" s="1">
        <f t="shared" si="71"/>
        <v>0</v>
      </c>
      <c r="Z303" s="1">
        <f t="shared" si="72"/>
        <v>0</v>
      </c>
      <c r="AA303" s="1">
        <f t="shared" si="75"/>
        <v>0</v>
      </c>
    </row>
    <row r="304" spans="12:27" x14ac:dyDescent="0.3">
      <c r="L304">
        <v>303</v>
      </c>
      <c r="M304" s="1">
        <f t="shared" si="61"/>
        <v>0</v>
      </c>
      <c r="N304" s="1">
        <f t="shared" si="62"/>
        <v>0</v>
      </c>
      <c r="O304" s="1">
        <f t="shared" si="63"/>
        <v>0</v>
      </c>
      <c r="P304" s="1">
        <f t="shared" si="64"/>
        <v>0</v>
      </c>
      <c r="Q304" s="1">
        <f t="shared" si="73"/>
        <v>0</v>
      </c>
      <c r="R304" s="1">
        <f t="shared" si="65"/>
        <v>0</v>
      </c>
      <c r="S304" s="1">
        <f t="shared" si="66"/>
        <v>0</v>
      </c>
      <c r="T304" s="1">
        <f t="shared" si="67"/>
        <v>0</v>
      </c>
      <c r="U304" s="1">
        <f t="shared" si="68"/>
        <v>0</v>
      </c>
      <c r="V304" s="1">
        <f t="shared" si="74"/>
        <v>0</v>
      </c>
      <c r="W304" s="1">
        <f t="shared" si="69"/>
        <v>0</v>
      </c>
      <c r="X304" s="1">
        <f t="shared" si="70"/>
        <v>0</v>
      </c>
      <c r="Y304" s="1">
        <f t="shared" si="71"/>
        <v>0</v>
      </c>
      <c r="Z304" s="1">
        <f t="shared" si="72"/>
        <v>0</v>
      </c>
      <c r="AA304" s="1">
        <f t="shared" si="75"/>
        <v>0</v>
      </c>
    </row>
    <row r="305" spans="12:27" x14ac:dyDescent="0.3">
      <c r="L305">
        <v>304</v>
      </c>
      <c r="M305" s="1">
        <f t="shared" si="61"/>
        <v>0</v>
      </c>
      <c r="N305" s="1">
        <f t="shared" si="62"/>
        <v>0</v>
      </c>
      <c r="O305" s="1">
        <f t="shared" si="63"/>
        <v>0</v>
      </c>
      <c r="P305" s="1">
        <f t="shared" si="64"/>
        <v>0</v>
      </c>
      <c r="Q305" s="1">
        <f t="shared" si="73"/>
        <v>0</v>
      </c>
      <c r="R305" s="1">
        <f t="shared" si="65"/>
        <v>0</v>
      </c>
      <c r="S305" s="1">
        <f t="shared" si="66"/>
        <v>0</v>
      </c>
      <c r="T305" s="1">
        <f t="shared" si="67"/>
        <v>0</v>
      </c>
      <c r="U305" s="1">
        <f t="shared" si="68"/>
        <v>0</v>
      </c>
      <c r="V305" s="1">
        <f t="shared" si="74"/>
        <v>0</v>
      </c>
      <c r="W305" s="1">
        <f t="shared" si="69"/>
        <v>0</v>
      </c>
      <c r="X305" s="1">
        <f t="shared" si="70"/>
        <v>0</v>
      </c>
      <c r="Y305" s="1">
        <f t="shared" si="71"/>
        <v>0</v>
      </c>
      <c r="Z305" s="1">
        <f t="shared" si="72"/>
        <v>0</v>
      </c>
      <c r="AA305" s="1">
        <f t="shared" si="75"/>
        <v>0</v>
      </c>
    </row>
    <row r="306" spans="12:27" x14ac:dyDescent="0.3">
      <c r="L306">
        <v>305</v>
      </c>
      <c r="M306" s="1">
        <f t="shared" si="61"/>
        <v>0</v>
      </c>
      <c r="N306" s="1">
        <f t="shared" si="62"/>
        <v>0</v>
      </c>
      <c r="O306" s="1">
        <f t="shared" si="63"/>
        <v>0</v>
      </c>
      <c r="P306" s="1">
        <f t="shared" si="64"/>
        <v>0</v>
      </c>
      <c r="Q306" s="1">
        <f t="shared" si="73"/>
        <v>0</v>
      </c>
      <c r="R306" s="1">
        <f t="shared" si="65"/>
        <v>0</v>
      </c>
      <c r="S306" s="1">
        <f t="shared" si="66"/>
        <v>0</v>
      </c>
      <c r="T306" s="1">
        <f t="shared" si="67"/>
        <v>0</v>
      </c>
      <c r="U306" s="1">
        <f t="shared" si="68"/>
        <v>0</v>
      </c>
      <c r="V306" s="1">
        <f t="shared" si="74"/>
        <v>0</v>
      </c>
      <c r="W306" s="1">
        <f t="shared" si="69"/>
        <v>0</v>
      </c>
      <c r="X306" s="1">
        <f t="shared" si="70"/>
        <v>0</v>
      </c>
      <c r="Y306" s="1">
        <f t="shared" si="71"/>
        <v>0</v>
      </c>
      <c r="Z306" s="1">
        <f t="shared" si="72"/>
        <v>0</v>
      </c>
      <c r="AA306" s="1">
        <f t="shared" si="75"/>
        <v>0</v>
      </c>
    </row>
    <row r="307" spans="12:27" x14ac:dyDescent="0.3">
      <c r="L307">
        <v>306</v>
      </c>
      <c r="M307" s="1">
        <f t="shared" si="61"/>
        <v>0</v>
      </c>
      <c r="N307" s="1">
        <f t="shared" si="62"/>
        <v>0</v>
      </c>
      <c r="O307" s="1">
        <f t="shared" si="63"/>
        <v>0</v>
      </c>
      <c r="P307" s="1">
        <f t="shared" si="64"/>
        <v>0</v>
      </c>
      <c r="Q307" s="1">
        <f t="shared" si="73"/>
        <v>0</v>
      </c>
      <c r="R307" s="1">
        <f t="shared" si="65"/>
        <v>0</v>
      </c>
      <c r="S307" s="1">
        <f t="shared" si="66"/>
        <v>0</v>
      </c>
      <c r="T307" s="1">
        <f t="shared" si="67"/>
        <v>0</v>
      </c>
      <c r="U307" s="1">
        <f t="shared" si="68"/>
        <v>0</v>
      </c>
      <c r="V307" s="1">
        <f t="shared" si="74"/>
        <v>0</v>
      </c>
      <c r="W307" s="1">
        <f t="shared" si="69"/>
        <v>0</v>
      </c>
      <c r="X307" s="1">
        <f t="shared" si="70"/>
        <v>0</v>
      </c>
      <c r="Y307" s="1">
        <f t="shared" si="71"/>
        <v>0</v>
      </c>
      <c r="Z307" s="1">
        <f t="shared" si="72"/>
        <v>0</v>
      </c>
      <c r="AA307" s="1">
        <f t="shared" si="75"/>
        <v>0</v>
      </c>
    </row>
    <row r="308" spans="12:27" x14ac:dyDescent="0.3">
      <c r="L308">
        <v>307</v>
      </c>
      <c r="M308" s="1">
        <f t="shared" si="61"/>
        <v>0</v>
      </c>
      <c r="N308" s="1">
        <f t="shared" si="62"/>
        <v>0</v>
      </c>
      <c r="O308" s="1">
        <f t="shared" si="63"/>
        <v>0</v>
      </c>
      <c r="P308" s="1">
        <f t="shared" si="64"/>
        <v>0</v>
      </c>
      <c r="Q308" s="1">
        <f t="shared" si="73"/>
        <v>0</v>
      </c>
      <c r="R308" s="1">
        <f t="shared" si="65"/>
        <v>0</v>
      </c>
      <c r="S308" s="1">
        <f t="shared" si="66"/>
        <v>0</v>
      </c>
      <c r="T308" s="1">
        <f t="shared" si="67"/>
        <v>0</v>
      </c>
      <c r="U308" s="1">
        <f t="shared" si="68"/>
        <v>0</v>
      </c>
      <c r="V308" s="1">
        <f t="shared" si="74"/>
        <v>0</v>
      </c>
      <c r="W308" s="1">
        <f t="shared" si="69"/>
        <v>0</v>
      </c>
      <c r="X308" s="1">
        <f t="shared" si="70"/>
        <v>0</v>
      </c>
      <c r="Y308" s="1">
        <f t="shared" si="71"/>
        <v>0</v>
      </c>
      <c r="Z308" s="1">
        <f t="shared" si="72"/>
        <v>0</v>
      </c>
      <c r="AA308" s="1">
        <f t="shared" si="75"/>
        <v>0</v>
      </c>
    </row>
    <row r="309" spans="12:27" x14ac:dyDescent="0.3">
      <c r="L309">
        <v>308</v>
      </c>
      <c r="M309" s="1">
        <f t="shared" si="61"/>
        <v>0</v>
      </c>
      <c r="N309" s="1">
        <f t="shared" si="62"/>
        <v>0</v>
      </c>
      <c r="O309" s="1">
        <f t="shared" si="63"/>
        <v>0</v>
      </c>
      <c r="P309" s="1">
        <f t="shared" si="64"/>
        <v>0</v>
      </c>
      <c r="Q309" s="1">
        <f t="shared" si="73"/>
        <v>0</v>
      </c>
      <c r="R309" s="1">
        <f t="shared" si="65"/>
        <v>0</v>
      </c>
      <c r="S309" s="1">
        <f t="shared" si="66"/>
        <v>0</v>
      </c>
      <c r="T309" s="1">
        <f t="shared" si="67"/>
        <v>0</v>
      </c>
      <c r="U309" s="1">
        <f t="shared" si="68"/>
        <v>0</v>
      </c>
      <c r="V309" s="1">
        <f t="shared" si="74"/>
        <v>0</v>
      </c>
      <c r="W309" s="1">
        <f t="shared" si="69"/>
        <v>0</v>
      </c>
      <c r="X309" s="1">
        <f t="shared" si="70"/>
        <v>0</v>
      </c>
      <c r="Y309" s="1">
        <f t="shared" si="71"/>
        <v>0</v>
      </c>
      <c r="Z309" s="1">
        <f t="shared" si="72"/>
        <v>0</v>
      </c>
      <c r="AA309" s="1">
        <f t="shared" si="75"/>
        <v>0</v>
      </c>
    </row>
    <row r="310" spans="12:27" x14ac:dyDescent="0.3">
      <c r="L310">
        <v>309</v>
      </c>
      <c r="M310" s="1">
        <f t="shared" si="61"/>
        <v>0</v>
      </c>
      <c r="N310" s="1">
        <f t="shared" si="62"/>
        <v>0</v>
      </c>
      <c r="O310" s="1">
        <f t="shared" si="63"/>
        <v>0</v>
      </c>
      <c r="P310" s="1">
        <f t="shared" si="64"/>
        <v>0</v>
      </c>
      <c r="Q310" s="1">
        <f t="shared" si="73"/>
        <v>0</v>
      </c>
      <c r="R310" s="1">
        <f t="shared" si="65"/>
        <v>0</v>
      </c>
      <c r="S310" s="1">
        <f t="shared" si="66"/>
        <v>0</v>
      </c>
      <c r="T310" s="1">
        <f t="shared" si="67"/>
        <v>0</v>
      </c>
      <c r="U310" s="1">
        <f t="shared" si="68"/>
        <v>0</v>
      </c>
      <c r="V310" s="1">
        <f t="shared" si="74"/>
        <v>0</v>
      </c>
      <c r="W310" s="1">
        <f t="shared" si="69"/>
        <v>0</v>
      </c>
      <c r="X310" s="1">
        <f t="shared" si="70"/>
        <v>0</v>
      </c>
      <c r="Y310" s="1">
        <f t="shared" si="71"/>
        <v>0</v>
      </c>
      <c r="Z310" s="1">
        <f t="shared" si="72"/>
        <v>0</v>
      </c>
      <c r="AA310" s="1">
        <f t="shared" si="75"/>
        <v>0</v>
      </c>
    </row>
    <row r="311" spans="12:27" x14ac:dyDescent="0.3">
      <c r="L311">
        <v>310</v>
      </c>
      <c r="M311" s="1">
        <f t="shared" si="61"/>
        <v>0</v>
      </c>
      <c r="N311" s="1">
        <f t="shared" si="62"/>
        <v>0</v>
      </c>
      <c r="O311" s="1">
        <f t="shared" si="63"/>
        <v>0</v>
      </c>
      <c r="P311" s="1">
        <f t="shared" si="64"/>
        <v>0</v>
      </c>
      <c r="Q311" s="1">
        <f t="shared" si="73"/>
        <v>0</v>
      </c>
      <c r="R311" s="1">
        <f t="shared" si="65"/>
        <v>0</v>
      </c>
      <c r="S311" s="1">
        <f t="shared" si="66"/>
        <v>0</v>
      </c>
      <c r="T311" s="1">
        <f t="shared" si="67"/>
        <v>0</v>
      </c>
      <c r="U311" s="1">
        <f t="shared" si="68"/>
        <v>0</v>
      </c>
      <c r="V311" s="1">
        <f t="shared" si="74"/>
        <v>0</v>
      </c>
      <c r="W311" s="1">
        <f t="shared" si="69"/>
        <v>0</v>
      </c>
      <c r="X311" s="1">
        <f t="shared" si="70"/>
        <v>0</v>
      </c>
      <c r="Y311" s="1">
        <f t="shared" si="71"/>
        <v>0</v>
      </c>
      <c r="Z311" s="1">
        <f t="shared" si="72"/>
        <v>0</v>
      </c>
      <c r="AA311" s="1">
        <f t="shared" si="75"/>
        <v>0</v>
      </c>
    </row>
    <row r="312" spans="12:27" x14ac:dyDescent="0.3">
      <c r="L312">
        <v>311</v>
      </c>
      <c r="M312" s="1">
        <f t="shared" si="61"/>
        <v>0</v>
      </c>
      <c r="N312" s="1">
        <f t="shared" si="62"/>
        <v>0</v>
      </c>
      <c r="O312" s="1">
        <f t="shared" si="63"/>
        <v>0</v>
      </c>
      <c r="P312" s="1">
        <f t="shared" si="64"/>
        <v>0</v>
      </c>
      <c r="Q312" s="1">
        <f t="shared" si="73"/>
        <v>0</v>
      </c>
      <c r="R312" s="1">
        <f t="shared" si="65"/>
        <v>0</v>
      </c>
      <c r="S312" s="1">
        <f t="shared" si="66"/>
        <v>0</v>
      </c>
      <c r="T312" s="1">
        <f t="shared" si="67"/>
        <v>0</v>
      </c>
      <c r="U312" s="1">
        <f t="shared" si="68"/>
        <v>0</v>
      </c>
      <c r="V312" s="1">
        <f t="shared" si="74"/>
        <v>0</v>
      </c>
      <c r="W312" s="1">
        <f t="shared" si="69"/>
        <v>0</v>
      </c>
      <c r="X312" s="1">
        <f t="shared" si="70"/>
        <v>0</v>
      </c>
      <c r="Y312" s="1">
        <f t="shared" si="71"/>
        <v>0</v>
      </c>
      <c r="Z312" s="1">
        <f t="shared" si="72"/>
        <v>0</v>
      </c>
      <c r="AA312" s="1">
        <f t="shared" si="75"/>
        <v>0</v>
      </c>
    </row>
    <row r="313" spans="12:27" x14ac:dyDescent="0.3">
      <c r="L313">
        <v>312</v>
      </c>
      <c r="M313" s="1">
        <f t="shared" si="61"/>
        <v>0</v>
      </c>
      <c r="N313" s="1">
        <f t="shared" si="62"/>
        <v>0</v>
      </c>
      <c r="O313" s="1">
        <f t="shared" si="63"/>
        <v>0</v>
      </c>
      <c r="P313" s="1">
        <f t="shared" si="64"/>
        <v>0</v>
      </c>
      <c r="Q313" s="1">
        <f t="shared" si="73"/>
        <v>0</v>
      </c>
      <c r="R313" s="1">
        <f t="shared" si="65"/>
        <v>0</v>
      </c>
      <c r="S313" s="1">
        <f t="shared" si="66"/>
        <v>0</v>
      </c>
      <c r="T313" s="1">
        <f t="shared" si="67"/>
        <v>0</v>
      </c>
      <c r="U313" s="1">
        <f t="shared" si="68"/>
        <v>0</v>
      </c>
      <c r="V313" s="1">
        <f t="shared" si="74"/>
        <v>0</v>
      </c>
      <c r="W313" s="1">
        <f t="shared" si="69"/>
        <v>0</v>
      </c>
      <c r="X313" s="1">
        <f t="shared" si="70"/>
        <v>0</v>
      </c>
      <c r="Y313" s="1">
        <f t="shared" si="71"/>
        <v>0</v>
      </c>
      <c r="Z313" s="1">
        <f t="shared" si="72"/>
        <v>0</v>
      </c>
      <c r="AA313" s="1">
        <f t="shared" si="75"/>
        <v>0</v>
      </c>
    </row>
    <row r="314" spans="12:27" x14ac:dyDescent="0.3">
      <c r="L314">
        <v>313</v>
      </c>
      <c r="M314" s="1">
        <f t="shared" si="61"/>
        <v>0</v>
      </c>
      <c r="N314" s="1">
        <f t="shared" si="62"/>
        <v>0</v>
      </c>
      <c r="O314" s="1">
        <f t="shared" si="63"/>
        <v>0</v>
      </c>
      <c r="P314" s="1">
        <f t="shared" si="64"/>
        <v>0</v>
      </c>
      <c r="Q314" s="1">
        <f t="shared" si="73"/>
        <v>0</v>
      </c>
      <c r="R314" s="1">
        <f t="shared" si="65"/>
        <v>0</v>
      </c>
      <c r="S314" s="1">
        <f t="shared" si="66"/>
        <v>0</v>
      </c>
      <c r="T314" s="1">
        <f t="shared" si="67"/>
        <v>0</v>
      </c>
      <c r="U314" s="1">
        <f t="shared" si="68"/>
        <v>0</v>
      </c>
      <c r="V314" s="1">
        <f t="shared" si="74"/>
        <v>0</v>
      </c>
      <c r="W314" s="1">
        <f t="shared" si="69"/>
        <v>0</v>
      </c>
      <c r="X314" s="1">
        <f t="shared" si="70"/>
        <v>0</v>
      </c>
      <c r="Y314" s="1">
        <f t="shared" si="71"/>
        <v>0</v>
      </c>
      <c r="Z314" s="1">
        <f t="shared" si="72"/>
        <v>0</v>
      </c>
      <c r="AA314" s="1">
        <f t="shared" si="75"/>
        <v>0</v>
      </c>
    </row>
    <row r="315" spans="12:27" x14ac:dyDescent="0.3">
      <c r="L315">
        <v>314</v>
      </c>
      <c r="M315" s="1">
        <f t="shared" si="61"/>
        <v>0</v>
      </c>
      <c r="N315" s="1">
        <f t="shared" si="62"/>
        <v>0</v>
      </c>
      <c r="O315" s="1">
        <f t="shared" si="63"/>
        <v>0</v>
      </c>
      <c r="P315" s="1">
        <f t="shared" si="64"/>
        <v>0</v>
      </c>
      <c r="Q315" s="1">
        <f t="shared" si="73"/>
        <v>0</v>
      </c>
      <c r="R315" s="1">
        <f t="shared" si="65"/>
        <v>0</v>
      </c>
      <c r="S315" s="1">
        <f t="shared" si="66"/>
        <v>0</v>
      </c>
      <c r="T315" s="1">
        <f t="shared" si="67"/>
        <v>0</v>
      </c>
      <c r="U315" s="1">
        <f t="shared" si="68"/>
        <v>0</v>
      </c>
      <c r="V315" s="1">
        <f t="shared" si="74"/>
        <v>0</v>
      </c>
      <c r="W315" s="1">
        <f t="shared" si="69"/>
        <v>0</v>
      </c>
      <c r="X315" s="1">
        <f t="shared" si="70"/>
        <v>0</v>
      </c>
      <c r="Y315" s="1">
        <f t="shared" si="71"/>
        <v>0</v>
      </c>
      <c r="Z315" s="1">
        <f t="shared" si="72"/>
        <v>0</v>
      </c>
      <c r="AA315" s="1">
        <f t="shared" si="75"/>
        <v>0</v>
      </c>
    </row>
    <row r="316" spans="12:27" x14ac:dyDescent="0.3">
      <c r="L316">
        <v>315</v>
      </c>
      <c r="M316" s="1">
        <f t="shared" si="61"/>
        <v>0</v>
      </c>
      <c r="N316" s="1">
        <f t="shared" si="62"/>
        <v>0</v>
      </c>
      <c r="O316" s="1">
        <f t="shared" si="63"/>
        <v>0</v>
      </c>
      <c r="P316" s="1">
        <f t="shared" si="64"/>
        <v>0</v>
      </c>
      <c r="Q316" s="1">
        <f t="shared" si="73"/>
        <v>0</v>
      </c>
      <c r="R316" s="1">
        <f t="shared" si="65"/>
        <v>0</v>
      </c>
      <c r="S316" s="1">
        <f t="shared" si="66"/>
        <v>0</v>
      </c>
      <c r="T316" s="1">
        <f t="shared" si="67"/>
        <v>0</v>
      </c>
      <c r="U316" s="1">
        <f t="shared" si="68"/>
        <v>0</v>
      </c>
      <c r="V316" s="1">
        <f t="shared" si="74"/>
        <v>0</v>
      </c>
      <c r="W316" s="1">
        <f t="shared" si="69"/>
        <v>0</v>
      </c>
      <c r="X316" s="1">
        <f t="shared" si="70"/>
        <v>0</v>
      </c>
      <c r="Y316" s="1">
        <f t="shared" si="71"/>
        <v>0</v>
      </c>
      <c r="Z316" s="1">
        <f t="shared" si="72"/>
        <v>0</v>
      </c>
      <c r="AA316" s="1">
        <f t="shared" si="75"/>
        <v>0</v>
      </c>
    </row>
    <row r="317" spans="12:27" x14ac:dyDescent="0.3">
      <c r="L317">
        <v>316</v>
      </c>
      <c r="M317" s="1">
        <f t="shared" si="61"/>
        <v>0</v>
      </c>
      <c r="N317" s="1">
        <f t="shared" si="62"/>
        <v>0</v>
      </c>
      <c r="O317" s="1">
        <f t="shared" si="63"/>
        <v>0</v>
      </c>
      <c r="P317" s="1">
        <f t="shared" si="64"/>
        <v>0</v>
      </c>
      <c r="Q317" s="1">
        <f t="shared" si="73"/>
        <v>0</v>
      </c>
      <c r="R317" s="1">
        <f t="shared" si="65"/>
        <v>0</v>
      </c>
      <c r="S317" s="1">
        <f t="shared" si="66"/>
        <v>0</v>
      </c>
      <c r="T317" s="1">
        <f t="shared" si="67"/>
        <v>0</v>
      </c>
      <c r="U317" s="1">
        <f t="shared" si="68"/>
        <v>0</v>
      </c>
      <c r="V317" s="1">
        <f t="shared" si="74"/>
        <v>0</v>
      </c>
      <c r="W317" s="1">
        <f t="shared" si="69"/>
        <v>0</v>
      </c>
      <c r="X317" s="1">
        <f t="shared" si="70"/>
        <v>0</v>
      </c>
      <c r="Y317" s="1">
        <f t="shared" si="71"/>
        <v>0</v>
      </c>
      <c r="Z317" s="1">
        <f t="shared" si="72"/>
        <v>0</v>
      </c>
      <c r="AA317" s="1">
        <f t="shared" si="75"/>
        <v>0</v>
      </c>
    </row>
    <row r="318" spans="12:27" x14ac:dyDescent="0.3">
      <c r="L318">
        <v>317</v>
      </c>
      <c r="M318" s="1">
        <f t="shared" si="61"/>
        <v>0</v>
      </c>
      <c r="N318" s="1">
        <f t="shared" si="62"/>
        <v>0</v>
      </c>
      <c r="O318" s="1">
        <f t="shared" si="63"/>
        <v>0</v>
      </c>
      <c r="P318" s="1">
        <f t="shared" si="64"/>
        <v>0</v>
      </c>
      <c r="Q318" s="1">
        <f t="shared" si="73"/>
        <v>0</v>
      </c>
      <c r="R318" s="1">
        <f t="shared" si="65"/>
        <v>0</v>
      </c>
      <c r="S318" s="1">
        <f t="shared" si="66"/>
        <v>0</v>
      </c>
      <c r="T318" s="1">
        <f t="shared" si="67"/>
        <v>0</v>
      </c>
      <c r="U318" s="1">
        <f t="shared" si="68"/>
        <v>0</v>
      </c>
      <c r="V318" s="1">
        <f t="shared" si="74"/>
        <v>0</v>
      </c>
      <c r="W318" s="1">
        <f t="shared" si="69"/>
        <v>0</v>
      </c>
      <c r="X318" s="1">
        <f t="shared" si="70"/>
        <v>0</v>
      </c>
      <c r="Y318" s="1">
        <f t="shared" si="71"/>
        <v>0</v>
      </c>
      <c r="Z318" s="1">
        <f t="shared" si="72"/>
        <v>0</v>
      </c>
      <c r="AA318" s="1">
        <f t="shared" si="75"/>
        <v>0</v>
      </c>
    </row>
    <row r="319" spans="12:27" x14ac:dyDescent="0.3">
      <c r="L319">
        <v>318</v>
      </c>
      <c r="M319" s="1">
        <f t="shared" si="61"/>
        <v>0</v>
      </c>
      <c r="N319" s="1">
        <f t="shared" si="62"/>
        <v>0</v>
      </c>
      <c r="O319" s="1">
        <f t="shared" si="63"/>
        <v>0</v>
      </c>
      <c r="P319" s="1">
        <f t="shared" si="64"/>
        <v>0</v>
      </c>
      <c r="Q319" s="1">
        <f t="shared" si="73"/>
        <v>0</v>
      </c>
      <c r="R319" s="1">
        <f t="shared" si="65"/>
        <v>0</v>
      </c>
      <c r="S319" s="1">
        <f t="shared" si="66"/>
        <v>0</v>
      </c>
      <c r="T319" s="1">
        <f t="shared" si="67"/>
        <v>0</v>
      </c>
      <c r="U319" s="1">
        <f t="shared" si="68"/>
        <v>0</v>
      </c>
      <c r="V319" s="1">
        <f t="shared" si="74"/>
        <v>0</v>
      </c>
      <c r="W319" s="1">
        <f t="shared" si="69"/>
        <v>0</v>
      </c>
      <c r="X319" s="1">
        <f t="shared" si="70"/>
        <v>0</v>
      </c>
      <c r="Y319" s="1">
        <f t="shared" si="71"/>
        <v>0</v>
      </c>
      <c r="Z319" s="1">
        <f t="shared" si="72"/>
        <v>0</v>
      </c>
      <c r="AA319" s="1">
        <f t="shared" si="75"/>
        <v>0</v>
      </c>
    </row>
    <row r="320" spans="12:27" x14ac:dyDescent="0.3">
      <c r="L320">
        <v>319</v>
      </c>
      <c r="M320" s="1">
        <f t="shared" si="61"/>
        <v>0</v>
      </c>
      <c r="N320" s="1">
        <f t="shared" si="62"/>
        <v>0</v>
      </c>
      <c r="O320" s="1">
        <f t="shared" si="63"/>
        <v>0</v>
      </c>
      <c r="P320" s="1">
        <f t="shared" si="64"/>
        <v>0</v>
      </c>
      <c r="Q320" s="1">
        <f t="shared" si="73"/>
        <v>0</v>
      </c>
      <c r="R320" s="1">
        <f t="shared" si="65"/>
        <v>0</v>
      </c>
      <c r="S320" s="1">
        <f t="shared" si="66"/>
        <v>0</v>
      </c>
      <c r="T320" s="1">
        <f t="shared" si="67"/>
        <v>0</v>
      </c>
      <c r="U320" s="1">
        <f t="shared" si="68"/>
        <v>0</v>
      </c>
      <c r="V320" s="1">
        <f t="shared" si="74"/>
        <v>0</v>
      </c>
      <c r="W320" s="1">
        <f t="shared" si="69"/>
        <v>0</v>
      </c>
      <c r="X320" s="1">
        <f t="shared" si="70"/>
        <v>0</v>
      </c>
      <c r="Y320" s="1">
        <f t="shared" si="71"/>
        <v>0</v>
      </c>
      <c r="Z320" s="1">
        <f t="shared" si="72"/>
        <v>0</v>
      </c>
      <c r="AA320" s="1">
        <f t="shared" si="75"/>
        <v>0</v>
      </c>
    </row>
    <row r="321" spans="12:27" x14ac:dyDescent="0.3">
      <c r="L321">
        <v>320</v>
      </c>
      <c r="M321" s="1">
        <f t="shared" si="61"/>
        <v>0</v>
      </c>
      <c r="N321" s="1">
        <f t="shared" si="62"/>
        <v>0</v>
      </c>
      <c r="O321" s="1">
        <f t="shared" si="63"/>
        <v>0</v>
      </c>
      <c r="P321" s="1">
        <f t="shared" si="64"/>
        <v>0</v>
      </c>
      <c r="Q321" s="1">
        <f t="shared" si="73"/>
        <v>0</v>
      </c>
      <c r="R321" s="1">
        <f t="shared" si="65"/>
        <v>0</v>
      </c>
      <c r="S321" s="1">
        <f t="shared" si="66"/>
        <v>0</v>
      </c>
      <c r="T321" s="1">
        <f t="shared" si="67"/>
        <v>0</v>
      </c>
      <c r="U321" s="1">
        <f t="shared" si="68"/>
        <v>0</v>
      </c>
      <c r="V321" s="1">
        <f t="shared" si="74"/>
        <v>0</v>
      </c>
      <c r="W321" s="1">
        <f t="shared" si="69"/>
        <v>0</v>
      </c>
      <c r="X321" s="1">
        <f t="shared" si="70"/>
        <v>0</v>
      </c>
      <c r="Y321" s="1">
        <f t="shared" si="71"/>
        <v>0</v>
      </c>
      <c r="Z321" s="1">
        <f t="shared" si="72"/>
        <v>0</v>
      </c>
      <c r="AA321" s="1">
        <f t="shared" si="75"/>
        <v>0</v>
      </c>
    </row>
    <row r="322" spans="12:27" x14ac:dyDescent="0.3">
      <c r="L322">
        <v>321</v>
      </c>
      <c r="M322" s="1">
        <f t="shared" ref="M322:M366" si="76">MAX(IF(OR(kcjd&lt;jdplant1,kcjd&gt;jdplant1+C$21),0,kc.ini.1),M687)</f>
        <v>0</v>
      </c>
      <c r="N322" s="1">
        <f t="shared" ref="N322:N366" si="77">MAX(IF(OR(kcjd&lt;jdplant1+C$21,kcjd&gt;jdplant1+SUM(C$21,D$21)),0,+H$21+(kcjd-(jdplant1+C$21))/(jdplant1+SUM(C$21,D$21)-(jdplant1+C$21))*(I$21-H$21)),N687)</f>
        <v>0</v>
      </c>
      <c r="O322" s="1">
        <f t="shared" ref="O322:O366" si="78">MAX(IF(OR(kcjd&lt;jdplant1+SUM(C$21,D$21),kcjd&gt;jdplant1+SUM(C$21,D$21,E$21)),0,kc.mid.1),O687)</f>
        <v>0</v>
      </c>
      <c r="P322" s="1">
        <f t="shared" ref="P322:P366" si="79">MAX(IF(OR(kcjd&lt;jdplant1+SUM(C$21:E$21),kcjd&gt;jdplant1+G$21),0,+I$21-(kcjd-(jdplant1+SUM(C$21:E$21)))/((jdplant1+G$21)-(jdplant1+SUM(C$21:E$21)))*(I$21-J$21)),P687)</f>
        <v>0</v>
      </c>
      <c r="Q322" s="1">
        <f t="shared" si="73"/>
        <v>0</v>
      </c>
      <c r="R322" s="1">
        <f t="shared" ref="R322:R366" si="80">MAX(IF(OR(kcjd&lt;jdplant2,kcjd&gt;jdplant2+$C$22),0,kc.ini.2),R687)</f>
        <v>0</v>
      </c>
      <c r="S322" s="1">
        <f t="shared" ref="S322:S366" si="81">MAX(IF(OR(kcjd&lt;jdplant2+$C$22,kcjd&gt;jdplant2+SUM($C$22,$D$22)),0,+kc.ini.2+(kcjd-(jdplant2+$C$22))/(jdplant2+SUM($C$22,$D$22)-(jdplant2+$C$22))*(kc.mid.2-kc.ini.2)),S687)</f>
        <v>0</v>
      </c>
      <c r="T322" s="1">
        <f t="shared" ref="T322:T366" si="82">MAX(IF(OR(kcjd&lt;jdplant2+SUM($C$22,$D$22),kcjd&gt;jdplant2+SUM($C$22,$D$22,$E$22)),0,kc.mid.2),T687)</f>
        <v>0</v>
      </c>
      <c r="U322" s="1">
        <f t="shared" ref="U322:U366" si="83">MAX(IF(OR(kcjd&lt;jdplant2+SUM($C$22:$E$22),kcjd&gt;jdplant2+$G$22),0,+kc.mid.2-(kcjd-(jdplant2+SUM($C$22:$E$22)))/((jdplant2+$G$22)-(jdplant2+SUM($C$22:$E$22)))*(kc.mid.2-kc.late.2)),U687)</f>
        <v>0</v>
      </c>
      <c r="V322" s="1">
        <f t="shared" si="74"/>
        <v>0</v>
      </c>
      <c r="W322" s="1">
        <f t="shared" ref="W322:W366" si="84">MAX(IF(OR(kcjd&lt;jdplant3,kcjd&gt;jdplant3+$C$23),0,kc.ini.3),W687)</f>
        <v>0</v>
      </c>
      <c r="X322" s="1">
        <f t="shared" ref="X322:X366" si="85">MAX(IF(OR(kcjd&lt;jdplant3+$C$23,kcjd&gt;jdplant3+SUM($C$23,$D$23)),0,+kc.ini.3+(kcjd-(jdplant3+$C$23))/(jdplant3+SUM($C$23,$D$23)-(jdplant3+$C$23))*(kc.mid.3-kc.ini.3)),X687)</f>
        <v>0</v>
      </c>
      <c r="Y322" s="1">
        <f t="shared" ref="Y322:Y366" si="86">MAX(IF(OR(kcjd&lt;jdplant3+SUM($C$23,$D$23),kcjd&gt;jdplant3+SUM($C$23,$D$23,$E$23)),0,kc.mid.3),Y687)</f>
        <v>0</v>
      </c>
      <c r="Z322" s="1">
        <f t="shared" ref="Z322:Z366" si="87">MAX(IF(OR(kcjd&lt;jdplant3+SUM($C$23:$E$23),kcjd&gt;jdplant3+$G$23),0,+kc.mid.3-(kcjd-(jdplant3+SUM($C$23:$E$23)))/((jdplant3+$G$23)-(jdplant3+SUM($C$23:$E$23)))*(kc.mid.3-kc.late.3)),Z687)</f>
        <v>0</v>
      </c>
      <c r="AA322" s="1">
        <f t="shared" si="75"/>
        <v>0</v>
      </c>
    </row>
    <row r="323" spans="12:27" x14ac:dyDescent="0.3">
      <c r="L323">
        <v>322</v>
      </c>
      <c r="M323" s="1">
        <f t="shared" si="76"/>
        <v>0</v>
      </c>
      <c r="N323" s="1">
        <f t="shared" si="77"/>
        <v>0</v>
      </c>
      <c r="O323" s="1">
        <f t="shared" si="78"/>
        <v>0</v>
      </c>
      <c r="P323" s="1">
        <f t="shared" si="79"/>
        <v>0</v>
      </c>
      <c r="Q323" s="1">
        <f t="shared" ref="Q323:Q366" si="88">MAX(M323:P323)</f>
        <v>0</v>
      </c>
      <c r="R323" s="1">
        <f t="shared" si="80"/>
        <v>0</v>
      </c>
      <c r="S323" s="1">
        <f t="shared" si="81"/>
        <v>0</v>
      </c>
      <c r="T323" s="1">
        <f t="shared" si="82"/>
        <v>0</v>
      </c>
      <c r="U323" s="1">
        <f t="shared" si="83"/>
        <v>0</v>
      </c>
      <c r="V323" s="1">
        <f t="shared" ref="V323:V366" si="89">MAX(R323:U323)</f>
        <v>0</v>
      </c>
      <c r="W323" s="1">
        <f t="shared" si="84"/>
        <v>0</v>
      </c>
      <c r="X323" s="1">
        <f t="shared" si="85"/>
        <v>0</v>
      </c>
      <c r="Y323" s="1">
        <f t="shared" si="86"/>
        <v>0</v>
      </c>
      <c r="Z323" s="1">
        <f t="shared" si="87"/>
        <v>0</v>
      </c>
      <c r="AA323" s="1">
        <f t="shared" ref="AA323:AA366" si="90">MAX(W323:Z323)</f>
        <v>0</v>
      </c>
    </row>
    <row r="324" spans="12:27" x14ac:dyDescent="0.3">
      <c r="L324">
        <v>323</v>
      </c>
      <c r="M324" s="1">
        <f t="shared" si="76"/>
        <v>0</v>
      </c>
      <c r="N324" s="1">
        <f t="shared" si="77"/>
        <v>0</v>
      </c>
      <c r="O324" s="1">
        <f t="shared" si="78"/>
        <v>0</v>
      </c>
      <c r="P324" s="1">
        <f t="shared" si="79"/>
        <v>0</v>
      </c>
      <c r="Q324" s="1">
        <f t="shared" si="88"/>
        <v>0</v>
      </c>
      <c r="R324" s="1">
        <f t="shared" si="80"/>
        <v>0</v>
      </c>
      <c r="S324" s="1">
        <f t="shared" si="81"/>
        <v>0</v>
      </c>
      <c r="T324" s="1">
        <f t="shared" si="82"/>
        <v>0</v>
      </c>
      <c r="U324" s="1">
        <f t="shared" si="83"/>
        <v>0</v>
      </c>
      <c r="V324" s="1">
        <f t="shared" si="89"/>
        <v>0</v>
      </c>
      <c r="W324" s="1">
        <f t="shared" si="84"/>
        <v>0</v>
      </c>
      <c r="X324" s="1">
        <f t="shared" si="85"/>
        <v>0</v>
      </c>
      <c r="Y324" s="1">
        <f t="shared" si="86"/>
        <v>0</v>
      </c>
      <c r="Z324" s="1">
        <f t="shared" si="87"/>
        <v>0</v>
      </c>
      <c r="AA324" s="1">
        <f t="shared" si="90"/>
        <v>0</v>
      </c>
    </row>
    <row r="325" spans="12:27" x14ac:dyDescent="0.3">
      <c r="L325">
        <v>324</v>
      </c>
      <c r="M325" s="1">
        <f t="shared" si="76"/>
        <v>0</v>
      </c>
      <c r="N325" s="1">
        <f t="shared" si="77"/>
        <v>0</v>
      </c>
      <c r="O325" s="1">
        <f t="shared" si="78"/>
        <v>0</v>
      </c>
      <c r="P325" s="1">
        <f t="shared" si="79"/>
        <v>0</v>
      </c>
      <c r="Q325" s="1">
        <f t="shared" si="88"/>
        <v>0</v>
      </c>
      <c r="R325" s="1">
        <f t="shared" si="80"/>
        <v>0</v>
      </c>
      <c r="S325" s="1">
        <f t="shared" si="81"/>
        <v>0</v>
      </c>
      <c r="T325" s="1">
        <f t="shared" si="82"/>
        <v>0</v>
      </c>
      <c r="U325" s="1">
        <f t="shared" si="83"/>
        <v>0</v>
      </c>
      <c r="V325" s="1">
        <f t="shared" si="89"/>
        <v>0</v>
      </c>
      <c r="W325" s="1">
        <f t="shared" si="84"/>
        <v>0</v>
      </c>
      <c r="X325" s="1">
        <f t="shared" si="85"/>
        <v>0</v>
      </c>
      <c r="Y325" s="1">
        <f t="shared" si="86"/>
        <v>0</v>
      </c>
      <c r="Z325" s="1">
        <f t="shared" si="87"/>
        <v>0</v>
      </c>
      <c r="AA325" s="1">
        <f t="shared" si="90"/>
        <v>0</v>
      </c>
    </row>
    <row r="326" spans="12:27" x14ac:dyDescent="0.3">
      <c r="L326">
        <v>325</v>
      </c>
      <c r="M326" s="1">
        <f t="shared" si="76"/>
        <v>0</v>
      </c>
      <c r="N326" s="1">
        <f t="shared" si="77"/>
        <v>0</v>
      </c>
      <c r="O326" s="1">
        <f t="shared" si="78"/>
        <v>0</v>
      </c>
      <c r="P326" s="1">
        <f t="shared" si="79"/>
        <v>0</v>
      </c>
      <c r="Q326" s="1">
        <f t="shared" si="88"/>
        <v>0</v>
      </c>
      <c r="R326" s="1">
        <f t="shared" si="80"/>
        <v>0</v>
      </c>
      <c r="S326" s="1">
        <f t="shared" si="81"/>
        <v>0</v>
      </c>
      <c r="T326" s="1">
        <f t="shared" si="82"/>
        <v>0</v>
      </c>
      <c r="U326" s="1">
        <f t="shared" si="83"/>
        <v>0</v>
      </c>
      <c r="V326" s="1">
        <f t="shared" si="89"/>
        <v>0</v>
      </c>
      <c r="W326" s="1">
        <f t="shared" si="84"/>
        <v>0</v>
      </c>
      <c r="X326" s="1">
        <f t="shared" si="85"/>
        <v>0</v>
      </c>
      <c r="Y326" s="1">
        <f t="shared" si="86"/>
        <v>0</v>
      </c>
      <c r="Z326" s="1">
        <f t="shared" si="87"/>
        <v>0</v>
      </c>
      <c r="AA326" s="1">
        <f t="shared" si="90"/>
        <v>0</v>
      </c>
    </row>
    <row r="327" spans="12:27" x14ac:dyDescent="0.3">
      <c r="L327">
        <v>326</v>
      </c>
      <c r="M327" s="1">
        <f t="shared" si="76"/>
        <v>0</v>
      </c>
      <c r="N327" s="1">
        <f t="shared" si="77"/>
        <v>0</v>
      </c>
      <c r="O327" s="1">
        <f t="shared" si="78"/>
        <v>0</v>
      </c>
      <c r="P327" s="1">
        <f t="shared" si="79"/>
        <v>0</v>
      </c>
      <c r="Q327" s="1">
        <f t="shared" si="88"/>
        <v>0</v>
      </c>
      <c r="R327" s="1">
        <f t="shared" si="80"/>
        <v>0</v>
      </c>
      <c r="S327" s="1">
        <f t="shared" si="81"/>
        <v>0</v>
      </c>
      <c r="T327" s="1">
        <f t="shared" si="82"/>
        <v>0</v>
      </c>
      <c r="U327" s="1">
        <f t="shared" si="83"/>
        <v>0</v>
      </c>
      <c r="V327" s="1">
        <f t="shared" si="89"/>
        <v>0</v>
      </c>
      <c r="W327" s="1">
        <f t="shared" si="84"/>
        <v>0</v>
      </c>
      <c r="X327" s="1">
        <f t="shared" si="85"/>
        <v>0</v>
      </c>
      <c r="Y327" s="1">
        <f t="shared" si="86"/>
        <v>0</v>
      </c>
      <c r="Z327" s="1">
        <f t="shared" si="87"/>
        <v>0</v>
      </c>
      <c r="AA327" s="1">
        <f t="shared" si="90"/>
        <v>0</v>
      </c>
    </row>
    <row r="328" spans="12:27" x14ac:dyDescent="0.3">
      <c r="L328">
        <v>327</v>
      </c>
      <c r="M328" s="1">
        <f t="shared" si="76"/>
        <v>0</v>
      </c>
      <c r="N328" s="1">
        <f t="shared" si="77"/>
        <v>0</v>
      </c>
      <c r="O328" s="1">
        <f t="shared" si="78"/>
        <v>0</v>
      </c>
      <c r="P328" s="1">
        <f t="shared" si="79"/>
        <v>0</v>
      </c>
      <c r="Q328" s="1">
        <f t="shared" si="88"/>
        <v>0</v>
      </c>
      <c r="R328" s="1">
        <f t="shared" si="80"/>
        <v>0</v>
      </c>
      <c r="S328" s="1">
        <f t="shared" si="81"/>
        <v>0</v>
      </c>
      <c r="T328" s="1">
        <f t="shared" si="82"/>
        <v>0</v>
      </c>
      <c r="U328" s="1">
        <f t="shared" si="83"/>
        <v>0</v>
      </c>
      <c r="V328" s="1">
        <f t="shared" si="89"/>
        <v>0</v>
      </c>
      <c r="W328" s="1">
        <f t="shared" si="84"/>
        <v>0</v>
      </c>
      <c r="X328" s="1">
        <f t="shared" si="85"/>
        <v>0</v>
      </c>
      <c r="Y328" s="1">
        <f t="shared" si="86"/>
        <v>0</v>
      </c>
      <c r="Z328" s="1">
        <f t="shared" si="87"/>
        <v>0</v>
      </c>
      <c r="AA328" s="1">
        <f t="shared" si="90"/>
        <v>0</v>
      </c>
    </row>
    <row r="329" spans="12:27" x14ac:dyDescent="0.3">
      <c r="L329">
        <v>328</v>
      </c>
      <c r="M329" s="1">
        <f t="shared" si="76"/>
        <v>0</v>
      </c>
      <c r="N329" s="1">
        <f t="shared" si="77"/>
        <v>0</v>
      </c>
      <c r="O329" s="1">
        <f t="shared" si="78"/>
        <v>0</v>
      </c>
      <c r="P329" s="1">
        <f t="shared" si="79"/>
        <v>0</v>
      </c>
      <c r="Q329" s="1">
        <f t="shared" si="88"/>
        <v>0</v>
      </c>
      <c r="R329" s="1">
        <f t="shared" si="80"/>
        <v>0</v>
      </c>
      <c r="S329" s="1">
        <f t="shared" si="81"/>
        <v>0</v>
      </c>
      <c r="T329" s="1">
        <f t="shared" si="82"/>
        <v>0</v>
      </c>
      <c r="U329" s="1">
        <f t="shared" si="83"/>
        <v>0</v>
      </c>
      <c r="V329" s="1">
        <f t="shared" si="89"/>
        <v>0</v>
      </c>
      <c r="W329" s="1">
        <f t="shared" si="84"/>
        <v>0</v>
      </c>
      <c r="X329" s="1">
        <f t="shared" si="85"/>
        <v>0</v>
      </c>
      <c r="Y329" s="1">
        <f t="shared" si="86"/>
        <v>0</v>
      </c>
      <c r="Z329" s="1">
        <f t="shared" si="87"/>
        <v>0</v>
      </c>
      <c r="AA329" s="1">
        <f t="shared" si="90"/>
        <v>0</v>
      </c>
    </row>
    <row r="330" spans="12:27" x14ac:dyDescent="0.3">
      <c r="L330">
        <v>329</v>
      </c>
      <c r="M330" s="1">
        <f t="shared" si="76"/>
        <v>0</v>
      </c>
      <c r="N330" s="1">
        <f t="shared" si="77"/>
        <v>0</v>
      </c>
      <c r="O330" s="1">
        <f t="shared" si="78"/>
        <v>0</v>
      </c>
      <c r="P330" s="1">
        <f t="shared" si="79"/>
        <v>0</v>
      </c>
      <c r="Q330" s="1">
        <f t="shared" si="88"/>
        <v>0</v>
      </c>
      <c r="R330" s="1">
        <f t="shared" si="80"/>
        <v>0</v>
      </c>
      <c r="S330" s="1">
        <f t="shared" si="81"/>
        <v>0</v>
      </c>
      <c r="T330" s="1">
        <f t="shared" si="82"/>
        <v>0</v>
      </c>
      <c r="U330" s="1">
        <f t="shared" si="83"/>
        <v>0</v>
      </c>
      <c r="V330" s="1">
        <f t="shared" si="89"/>
        <v>0</v>
      </c>
      <c r="W330" s="1">
        <f t="shared" si="84"/>
        <v>0</v>
      </c>
      <c r="X330" s="1">
        <f t="shared" si="85"/>
        <v>0</v>
      </c>
      <c r="Y330" s="1">
        <f t="shared" si="86"/>
        <v>0</v>
      </c>
      <c r="Z330" s="1">
        <f t="shared" si="87"/>
        <v>0</v>
      </c>
      <c r="AA330" s="1">
        <f t="shared" si="90"/>
        <v>0</v>
      </c>
    </row>
    <row r="331" spans="12:27" x14ac:dyDescent="0.3">
      <c r="L331">
        <v>330</v>
      </c>
      <c r="M331" s="1">
        <f t="shared" si="76"/>
        <v>0</v>
      </c>
      <c r="N331" s="1">
        <f t="shared" si="77"/>
        <v>0</v>
      </c>
      <c r="O331" s="1">
        <f t="shared" si="78"/>
        <v>0</v>
      </c>
      <c r="P331" s="1">
        <f t="shared" si="79"/>
        <v>0</v>
      </c>
      <c r="Q331" s="1">
        <f t="shared" si="88"/>
        <v>0</v>
      </c>
      <c r="R331" s="1">
        <f t="shared" si="80"/>
        <v>0</v>
      </c>
      <c r="S331" s="1">
        <f t="shared" si="81"/>
        <v>0</v>
      </c>
      <c r="T331" s="1">
        <f t="shared" si="82"/>
        <v>0</v>
      </c>
      <c r="U331" s="1">
        <f t="shared" si="83"/>
        <v>0</v>
      </c>
      <c r="V331" s="1">
        <f t="shared" si="89"/>
        <v>0</v>
      </c>
      <c r="W331" s="1">
        <f t="shared" si="84"/>
        <v>0</v>
      </c>
      <c r="X331" s="1">
        <f t="shared" si="85"/>
        <v>0</v>
      </c>
      <c r="Y331" s="1">
        <f t="shared" si="86"/>
        <v>0</v>
      </c>
      <c r="Z331" s="1">
        <f t="shared" si="87"/>
        <v>0</v>
      </c>
      <c r="AA331" s="1">
        <f t="shared" si="90"/>
        <v>0</v>
      </c>
    </row>
    <row r="332" spans="12:27" x14ac:dyDescent="0.3">
      <c r="L332">
        <v>331</v>
      </c>
      <c r="M332" s="1">
        <f t="shared" si="76"/>
        <v>0</v>
      </c>
      <c r="N332" s="1">
        <f t="shared" si="77"/>
        <v>0</v>
      </c>
      <c r="O332" s="1">
        <f t="shared" si="78"/>
        <v>0</v>
      </c>
      <c r="P332" s="1">
        <f t="shared" si="79"/>
        <v>0</v>
      </c>
      <c r="Q332" s="1">
        <f t="shared" si="88"/>
        <v>0</v>
      </c>
      <c r="R332" s="1">
        <f t="shared" si="80"/>
        <v>0</v>
      </c>
      <c r="S332" s="1">
        <f t="shared" si="81"/>
        <v>0</v>
      </c>
      <c r="T332" s="1">
        <f t="shared" si="82"/>
        <v>0</v>
      </c>
      <c r="U332" s="1">
        <f t="shared" si="83"/>
        <v>0</v>
      </c>
      <c r="V332" s="1">
        <f t="shared" si="89"/>
        <v>0</v>
      </c>
      <c r="W332" s="1">
        <f t="shared" si="84"/>
        <v>0</v>
      </c>
      <c r="X332" s="1">
        <f t="shared" si="85"/>
        <v>0</v>
      </c>
      <c r="Y332" s="1">
        <f t="shared" si="86"/>
        <v>0</v>
      </c>
      <c r="Z332" s="1">
        <f t="shared" si="87"/>
        <v>0</v>
      </c>
      <c r="AA332" s="1">
        <f t="shared" si="90"/>
        <v>0</v>
      </c>
    </row>
    <row r="333" spans="12:27" x14ac:dyDescent="0.3">
      <c r="L333">
        <v>332</v>
      </c>
      <c r="M333" s="1">
        <f t="shared" si="76"/>
        <v>0</v>
      </c>
      <c r="N333" s="1">
        <f t="shared" si="77"/>
        <v>0</v>
      </c>
      <c r="O333" s="1">
        <f t="shared" si="78"/>
        <v>0</v>
      </c>
      <c r="P333" s="1">
        <f t="shared" si="79"/>
        <v>0</v>
      </c>
      <c r="Q333" s="1">
        <f t="shared" si="88"/>
        <v>0</v>
      </c>
      <c r="R333" s="1">
        <f t="shared" si="80"/>
        <v>0</v>
      </c>
      <c r="S333" s="1">
        <f t="shared" si="81"/>
        <v>0</v>
      </c>
      <c r="T333" s="1">
        <f t="shared" si="82"/>
        <v>0</v>
      </c>
      <c r="U333" s="1">
        <f t="shared" si="83"/>
        <v>0</v>
      </c>
      <c r="V333" s="1">
        <f t="shared" si="89"/>
        <v>0</v>
      </c>
      <c r="W333" s="1">
        <f t="shared" si="84"/>
        <v>0</v>
      </c>
      <c r="X333" s="1">
        <f t="shared" si="85"/>
        <v>0</v>
      </c>
      <c r="Y333" s="1">
        <f t="shared" si="86"/>
        <v>0</v>
      </c>
      <c r="Z333" s="1">
        <f t="shared" si="87"/>
        <v>0</v>
      </c>
      <c r="AA333" s="1">
        <f t="shared" si="90"/>
        <v>0</v>
      </c>
    </row>
    <row r="334" spans="12:27" x14ac:dyDescent="0.3">
      <c r="L334">
        <v>333</v>
      </c>
      <c r="M334" s="1">
        <f t="shared" si="76"/>
        <v>0</v>
      </c>
      <c r="N334" s="1">
        <f t="shared" si="77"/>
        <v>0</v>
      </c>
      <c r="O334" s="1">
        <f t="shared" si="78"/>
        <v>0</v>
      </c>
      <c r="P334" s="1">
        <f t="shared" si="79"/>
        <v>0</v>
      </c>
      <c r="Q334" s="1">
        <f t="shared" si="88"/>
        <v>0</v>
      </c>
      <c r="R334" s="1">
        <f t="shared" si="80"/>
        <v>0</v>
      </c>
      <c r="S334" s="1">
        <f t="shared" si="81"/>
        <v>0</v>
      </c>
      <c r="T334" s="1">
        <f t="shared" si="82"/>
        <v>0</v>
      </c>
      <c r="U334" s="1">
        <f t="shared" si="83"/>
        <v>0</v>
      </c>
      <c r="V334" s="1">
        <f t="shared" si="89"/>
        <v>0</v>
      </c>
      <c r="W334" s="1">
        <f t="shared" si="84"/>
        <v>0</v>
      </c>
      <c r="X334" s="1">
        <f t="shared" si="85"/>
        <v>0</v>
      </c>
      <c r="Y334" s="1">
        <f t="shared" si="86"/>
        <v>0</v>
      </c>
      <c r="Z334" s="1">
        <f t="shared" si="87"/>
        <v>0</v>
      </c>
      <c r="AA334" s="1">
        <f t="shared" si="90"/>
        <v>0</v>
      </c>
    </row>
    <row r="335" spans="12:27" x14ac:dyDescent="0.3">
      <c r="L335">
        <v>334</v>
      </c>
      <c r="M335" s="1">
        <f t="shared" si="76"/>
        <v>0</v>
      </c>
      <c r="N335" s="1">
        <f t="shared" si="77"/>
        <v>0</v>
      </c>
      <c r="O335" s="1">
        <f t="shared" si="78"/>
        <v>0</v>
      </c>
      <c r="P335" s="1">
        <f t="shared" si="79"/>
        <v>0</v>
      </c>
      <c r="Q335" s="1">
        <f t="shared" si="88"/>
        <v>0</v>
      </c>
      <c r="R335" s="1">
        <f t="shared" si="80"/>
        <v>0</v>
      </c>
      <c r="S335" s="1">
        <f t="shared" si="81"/>
        <v>0</v>
      </c>
      <c r="T335" s="1">
        <f t="shared" si="82"/>
        <v>0</v>
      </c>
      <c r="U335" s="1">
        <f t="shared" si="83"/>
        <v>0</v>
      </c>
      <c r="V335" s="1">
        <f t="shared" si="89"/>
        <v>0</v>
      </c>
      <c r="W335" s="1">
        <f t="shared" si="84"/>
        <v>0</v>
      </c>
      <c r="X335" s="1">
        <f t="shared" si="85"/>
        <v>0</v>
      </c>
      <c r="Y335" s="1">
        <f t="shared" si="86"/>
        <v>0</v>
      </c>
      <c r="Z335" s="1">
        <f t="shared" si="87"/>
        <v>0</v>
      </c>
      <c r="AA335" s="1">
        <f t="shared" si="90"/>
        <v>0</v>
      </c>
    </row>
    <row r="336" spans="12:27" x14ac:dyDescent="0.3">
      <c r="L336">
        <v>335</v>
      </c>
      <c r="M336" s="1">
        <f t="shared" si="76"/>
        <v>0</v>
      </c>
      <c r="N336" s="1">
        <f t="shared" si="77"/>
        <v>0</v>
      </c>
      <c r="O336" s="1">
        <f t="shared" si="78"/>
        <v>0</v>
      </c>
      <c r="P336" s="1">
        <f t="shared" si="79"/>
        <v>0</v>
      </c>
      <c r="Q336" s="1">
        <f t="shared" si="88"/>
        <v>0</v>
      </c>
      <c r="R336" s="1">
        <f t="shared" si="80"/>
        <v>0</v>
      </c>
      <c r="S336" s="1">
        <f t="shared" si="81"/>
        <v>0</v>
      </c>
      <c r="T336" s="1">
        <f t="shared" si="82"/>
        <v>0</v>
      </c>
      <c r="U336" s="1">
        <f t="shared" si="83"/>
        <v>0</v>
      </c>
      <c r="V336" s="1">
        <f t="shared" si="89"/>
        <v>0</v>
      </c>
      <c r="W336" s="1">
        <f t="shared" si="84"/>
        <v>0</v>
      </c>
      <c r="X336" s="1">
        <f t="shared" si="85"/>
        <v>0</v>
      </c>
      <c r="Y336" s="1">
        <f t="shared" si="86"/>
        <v>0</v>
      </c>
      <c r="Z336" s="1">
        <f t="shared" si="87"/>
        <v>0</v>
      </c>
      <c r="AA336" s="1">
        <f t="shared" si="90"/>
        <v>0</v>
      </c>
    </row>
    <row r="337" spans="12:27" x14ac:dyDescent="0.3">
      <c r="L337">
        <v>336</v>
      </c>
      <c r="M337" s="1">
        <f t="shared" si="76"/>
        <v>0</v>
      </c>
      <c r="N337" s="1">
        <f t="shared" si="77"/>
        <v>0</v>
      </c>
      <c r="O337" s="1">
        <f t="shared" si="78"/>
        <v>0</v>
      </c>
      <c r="P337" s="1">
        <f t="shared" si="79"/>
        <v>0</v>
      </c>
      <c r="Q337" s="1">
        <f t="shared" si="88"/>
        <v>0</v>
      </c>
      <c r="R337" s="1">
        <f t="shared" si="80"/>
        <v>0</v>
      </c>
      <c r="S337" s="1">
        <f t="shared" si="81"/>
        <v>0</v>
      </c>
      <c r="T337" s="1">
        <f t="shared" si="82"/>
        <v>0</v>
      </c>
      <c r="U337" s="1">
        <f t="shared" si="83"/>
        <v>0</v>
      </c>
      <c r="V337" s="1">
        <f t="shared" si="89"/>
        <v>0</v>
      </c>
      <c r="W337" s="1">
        <f t="shared" si="84"/>
        <v>0</v>
      </c>
      <c r="X337" s="1">
        <f t="shared" si="85"/>
        <v>0</v>
      </c>
      <c r="Y337" s="1">
        <f t="shared" si="86"/>
        <v>0</v>
      </c>
      <c r="Z337" s="1">
        <f t="shared" si="87"/>
        <v>0</v>
      </c>
      <c r="AA337" s="1">
        <f t="shared" si="90"/>
        <v>0</v>
      </c>
    </row>
    <row r="338" spans="12:27" x14ac:dyDescent="0.3">
      <c r="L338">
        <v>337</v>
      </c>
      <c r="M338" s="1">
        <f t="shared" si="76"/>
        <v>0</v>
      </c>
      <c r="N338" s="1">
        <f t="shared" si="77"/>
        <v>0</v>
      </c>
      <c r="O338" s="1">
        <f t="shared" si="78"/>
        <v>0</v>
      </c>
      <c r="P338" s="1">
        <f t="shared" si="79"/>
        <v>0</v>
      </c>
      <c r="Q338" s="1">
        <f t="shared" si="88"/>
        <v>0</v>
      </c>
      <c r="R338" s="1">
        <f t="shared" si="80"/>
        <v>0</v>
      </c>
      <c r="S338" s="1">
        <f t="shared" si="81"/>
        <v>0</v>
      </c>
      <c r="T338" s="1">
        <f t="shared" si="82"/>
        <v>0</v>
      </c>
      <c r="U338" s="1">
        <f t="shared" si="83"/>
        <v>0</v>
      </c>
      <c r="V338" s="1">
        <f t="shared" si="89"/>
        <v>0</v>
      </c>
      <c r="W338" s="1">
        <f t="shared" si="84"/>
        <v>0</v>
      </c>
      <c r="X338" s="1">
        <f t="shared" si="85"/>
        <v>0</v>
      </c>
      <c r="Y338" s="1">
        <f t="shared" si="86"/>
        <v>0</v>
      </c>
      <c r="Z338" s="1">
        <f t="shared" si="87"/>
        <v>0</v>
      </c>
      <c r="AA338" s="1">
        <f t="shared" si="90"/>
        <v>0</v>
      </c>
    </row>
    <row r="339" spans="12:27" x14ac:dyDescent="0.3">
      <c r="L339">
        <v>338</v>
      </c>
      <c r="M339" s="1">
        <f t="shared" si="76"/>
        <v>0</v>
      </c>
      <c r="N339" s="1">
        <f t="shared" si="77"/>
        <v>0</v>
      </c>
      <c r="O339" s="1">
        <f t="shared" si="78"/>
        <v>0</v>
      </c>
      <c r="P339" s="1">
        <f t="shared" si="79"/>
        <v>0</v>
      </c>
      <c r="Q339" s="1">
        <f t="shared" si="88"/>
        <v>0</v>
      </c>
      <c r="R339" s="1">
        <f t="shared" si="80"/>
        <v>0</v>
      </c>
      <c r="S339" s="1">
        <f t="shared" si="81"/>
        <v>0</v>
      </c>
      <c r="T339" s="1">
        <f t="shared" si="82"/>
        <v>0</v>
      </c>
      <c r="U339" s="1">
        <f t="shared" si="83"/>
        <v>0</v>
      </c>
      <c r="V339" s="1">
        <f t="shared" si="89"/>
        <v>0</v>
      </c>
      <c r="W339" s="1">
        <f t="shared" si="84"/>
        <v>0</v>
      </c>
      <c r="X339" s="1">
        <f t="shared" si="85"/>
        <v>0</v>
      </c>
      <c r="Y339" s="1">
        <f t="shared" si="86"/>
        <v>0</v>
      </c>
      <c r="Z339" s="1">
        <f t="shared" si="87"/>
        <v>0</v>
      </c>
      <c r="AA339" s="1">
        <f t="shared" si="90"/>
        <v>0</v>
      </c>
    </row>
    <row r="340" spans="12:27" x14ac:dyDescent="0.3">
      <c r="L340">
        <v>339</v>
      </c>
      <c r="M340" s="1">
        <f t="shared" si="76"/>
        <v>0</v>
      </c>
      <c r="N340" s="1">
        <f t="shared" si="77"/>
        <v>0</v>
      </c>
      <c r="O340" s="1">
        <f t="shared" si="78"/>
        <v>0</v>
      </c>
      <c r="P340" s="1">
        <f t="shared" si="79"/>
        <v>0</v>
      </c>
      <c r="Q340" s="1">
        <f t="shared" si="88"/>
        <v>0</v>
      </c>
      <c r="R340" s="1">
        <f t="shared" si="80"/>
        <v>0</v>
      </c>
      <c r="S340" s="1">
        <f t="shared" si="81"/>
        <v>0</v>
      </c>
      <c r="T340" s="1">
        <f t="shared" si="82"/>
        <v>0</v>
      </c>
      <c r="U340" s="1">
        <f t="shared" si="83"/>
        <v>0</v>
      </c>
      <c r="V340" s="1">
        <f t="shared" si="89"/>
        <v>0</v>
      </c>
      <c r="W340" s="1">
        <f t="shared" si="84"/>
        <v>0</v>
      </c>
      <c r="X340" s="1">
        <f t="shared" si="85"/>
        <v>0</v>
      </c>
      <c r="Y340" s="1">
        <f t="shared" si="86"/>
        <v>0</v>
      </c>
      <c r="Z340" s="1">
        <f t="shared" si="87"/>
        <v>0</v>
      </c>
      <c r="AA340" s="1">
        <f t="shared" si="90"/>
        <v>0</v>
      </c>
    </row>
    <row r="341" spans="12:27" x14ac:dyDescent="0.3">
      <c r="L341">
        <v>340</v>
      </c>
      <c r="M341" s="1">
        <f t="shared" si="76"/>
        <v>0</v>
      </c>
      <c r="N341" s="1">
        <f t="shared" si="77"/>
        <v>0</v>
      </c>
      <c r="O341" s="1">
        <f t="shared" si="78"/>
        <v>0</v>
      </c>
      <c r="P341" s="1">
        <f t="shared" si="79"/>
        <v>0</v>
      </c>
      <c r="Q341" s="1">
        <f t="shared" si="88"/>
        <v>0</v>
      </c>
      <c r="R341" s="1">
        <f t="shared" si="80"/>
        <v>0</v>
      </c>
      <c r="S341" s="1">
        <f t="shared" si="81"/>
        <v>0</v>
      </c>
      <c r="T341" s="1">
        <f t="shared" si="82"/>
        <v>0</v>
      </c>
      <c r="U341" s="1">
        <f t="shared" si="83"/>
        <v>0</v>
      </c>
      <c r="V341" s="1">
        <f t="shared" si="89"/>
        <v>0</v>
      </c>
      <c r="W341" s="1">
        <f t="shared" si="84"/>
        <v>0</v>
      </c>
      <c r="X341" s="1">
        <f t="shared" si="85"/>
        <v>0</v>
      </c>
      <c r="Y341" s="1">
        <f t="shared" si="86"/>
        <v>0</v>
      </c>
      <c r="Z341" s="1">
        <f t="shared" si="87"/>
        <v>0</v>
      </c>
      <c r="AA341" s="1">
        <f t="shared" si="90"/>
        <v>0</v>
      </c>
    </row>
    <row r="342" spans="12:27" x14ac:dyDescent="0.3">
      <c r="L342">
        <v>341</v>
      </c>
      <c r="M342" s="1">
        <f t="shared" si="76"/>
        <v>0</v>
      </c>
      <c r="N342" s="1">
        <f t="shared" si="77"/>
        <v>0</v>
      </c>
      <c r="O342" s="1">
        <f t="shared" si="78"/>
        <v>0</v>
      </c>
      <c r="P342" s="1">
        <f t="shared" si="79"/>
        <v>0</v>
      </c>
      <c r="Q342" s="1">
        <f t="shared" si="88"/>
        <v>0</v>
      </c>
      <c r="R342" s="1">
        <f t="shared" si="80"/>
        <v>0</v>
      </c>
      <c r="S342" s="1">
        <f t="shared" si="81"/>
        <v>0</v>
      </c>
      <c r="T342" s="1">
        <f t="shared" si="82"/>
        <v>0</v>
      </c>
      <c r="U342" s="1">
        <f t="shared" si="83"/>
        <v>0</v>
      </c>
      <c r="V342" s="1">
        <f t="shared" si="89"/>
        <v>0</v>
      </c>
      <c r="W342" s="1">
        <f t="shared" si="84"/>
        <v>0</v>
      </c>
      <c r="X342" s="1">
        <f t="shared" si="85"/>
        <v>0</v>
      </c>
      <c r="Y342" s="1">
        <f t="shared" si="86"/>
        <v>0</v>
      </c>
      <c r="Z342" s="1">
        <f t="shared" si="87"/>
        <v>0</v>
      </c>
      <c r="AA342" s="1">
        <f t="shared" si="90"/>
        <v>0</v>
      </c>
    </row>
    <row r="343" spans="12:27" x14ac:dyDescent="0.3">
      <c r="L343">
        <v>342</v>
      </c>
      <c r="M343" s="1">
        <f t="shared" si="76"/>
        <v>0</v>
      </c>
      <c r="N343" s="1">
        <f t="shared" si="77"/>
        <v>0</v>
      </c>
      <c r="O343" s="1">
        <f t="shared" si="78"/>
        <v>0</v>
      </c>
      <c r="P343" s="1">
        <f t="shared" si="79"/>
        <v>0</v>
      </c>
      <c r="Q343" s="1">
        <f t="shared" si="88"/>
        <v>0</v>
      </c>
      <c r="R343" s="1">
        <f t="shared" si="80"/>
        <v>0</v>
      </c>
      <c r="S343" s="1">
        <f t="shared" si="81"/>
        <v>0</v>
      </c>
      <c r="T343" s="1">
        <f t="shared" si="82"/>
        <v>0</v>
      </c>
      <c r="U343" s="1">
        <f t="shared" si="83"/>
        <v>0</v>
      </c>
      <c r="V343" s="1">
        <f t="shared" si="89"/>
        <v>0</v>
      </c>
      <c r="W343" s="1">
        <f t="shared" si="84"/>
        <v>0</v>
      </c>
      <c r="X343" s="1">
        <f t="shared" si="85"/>
        <v>0</v>
      </c>
      <c r="Y343" s="1">
        <f t="shared" si="86"/>
        <v>0</v>
      </c>
      <c r="Z343" s="1">
        <f t="shared" si="87"/>
        <v>0</v>
      </c>
      <c r="AA343" s="1">
        <f t="shared" si="90"/>
        <v>0</v>
      </c>
    </row>
    <row r="344" spans="12:27" x14ac:dyDescent="0.3">
      <c r="L344">
        <v>343</v>
      </c>
      <c r="M344" s="1">
        <f t="shared" si="76"/>
        <v>0</v>
      </c>
      <c r="N344" s="1">
        <f t="shared" si="77"/>
        <v>0</v>
      </c>
      <c r="O344" s="1">
        <f t="shared" si="78"/>
        <v>0</v>
      </c>
      <c r="P344" s="1">
        <f t="shared" si="79"/>
        <v>0</v>
      </c>
      <c r="Q344" s="1">
        <f t="shared" si="88"/>
        <v>0</v>
      </c>
      <c r="R344" s="1">
        <f t="shared" si="80"/>
        <v>0</v>
      </c>
      <c r="S344" s="1">
        <f t="shared" si="81"/>
        <v>0</v>
      </c>
      <c r="T344" s="1">
        <f t="shared" si="82"/>
        <v>0</v>
      </c>
      <c r="U344" s="1">
        <f t="shared" si="83"/>
        <v>0</v>
      </c>
      <c r="V344" s="1">
        <f t="shared" si="89"/>
        <v>0</v>
      </c>
      <c r="W344" s="1">
        <f t="shared" si="84"/>
        <v>0</v>
      </c>
      <c r="X344" s="1">
        <f t="shared" si="85"/>
        <v>0</v>
      </c>
      <c r="Y344" s="1">
        <f t="shared" si="86"/>
        <v>0</v>
      </c>
      <c r="Z344" s="1">
        <f t="shared" si="87"/>
        <v>0</v>
      </c>
      <c r="AA344" s="1">
        <f t="shared" si="90"/>
        <v>0</v>
      </c>
    </row>
    <row r="345" spans="12:27" x14ac:dyDescent="0.3">
      <c r="L345">
        <v>344</v>
      </c>
      <c r="M345" s="1">
        <f t="shared" si="76"/>
        <v>0</v>
      </c>
      <c r="N345" s="1">
        <f t="shared" si="77"/>
        <v>0</v>
      </c>
      <c r="O345" s="1">
        <f t="shared" si="78"/>
        <v>0</v>
      </c>
      <c r="P345" s="1">
        <f t="shared" si="79"/>
        <v>0</v>
      </c>
      <c r="Q345" s="1">
        <f t="shared" si="88"/>
        <v>0</v>
      </c>
      <c r="R345" s="1">
        <f t="shared" si="80"/>
        <v>0</v>
      </c>
      <c r="S345" s="1">
        <f t="shared" si="81"/>
        <v>0</v>
      </c>
      <c r="T345" s="1">
        <f t="shared" si="82"/>
        <v>0</v>
      </c>
      <c r="U345" s="1">
        <f t="shared" si="83"/>
        <v>0</v>
      </c>
      <c r="V345" s="1">
        <f t="shared" si="89"/>
        <v>0</v>
      </c>
      <c r="W345" s="1">
        <f t="shared" si="84"/>
        <v>0</v>
      </c>
      <c r="X345" s="1">
        <f t="shared" si="85"/>
        <v>0</v>
      </c>
      <c r="Y345" s="1">
        <f t="shared" si="86"/>
        <v>0</v>
      </c>
      <c r="Z345" s="1">
        <f t="shared" si="87"/>
        <v>0</v>
      </c>
      <c r="AA345" s="1">
        <f t="shared" si="90"/>
        <v>0</v>
      </c>
    </row>
    <row r="346" spans="12:27" x14ac:dyDescent="0.3">
      <c r="L346">
        <v>345</v>
      </c>
      <c r="M346" s="1">
        <f t="shared" si="76"/>
        <v>0</v>
      </c>
      <c r="N346" s="1">
        <f t="shared" si="77"/>
        <v>0</v>
      </c>
      <c r="O346" s="1">
        <f t="shared" si="78"/>
        <v>0</v>
      </c>
      <c r="P346" s="1">
        <f t="shared" si="79"/>
        <v>0</v>
      </c>
      <c r="Q346" s="1">
        <f t="shared" si="88"/>
        <v>0</v>
      </c>
      <c r="R346" s="1">
        <f t="shared" si="80"/>
        <v>0</v>
      </c>
      <c r="S346" s="1">
        <f t="shared" si="81"/>
        <v>0</v>
      </c>
      <c r="T346" s="1">
        <f t="shared" si="82"/>
        <v>0</v>
      </c>
      <c r="U346" s="1">
        <f t="shared" si="83"/>
        <v>0</v>
      </c>
      <c r="V346" s="1">
        <f t="shared" si="89"/>
        <v>0</v>
      </c>
      <c r="W346" s="1">
        <f t="shared" si="84"/>
        <v>0</v>
      </c>
      <c r="X346" s="1">
        <f t="shared" si="85"/>
        <v>0</v>
      </c>
      <c r="Y346" s="1">
        <f t="shared" si="86"/>
        <v>0</v>
      </c>
      <c r="Z346" s="1">
        <f t="shared" si="87"/>
        <v>0</v>
      </c>
      <c r="AA346" s="1">
        <f t="shared" si="90"/>
        <v>0</v>
      </c>
    </row>
    <row r="347" spans="12:27" x14ac:dyDescent="0.3">
      <c r="L347">
        <v>346</v>
      </c>
      <c r="M347" s="1">
        <f t="shared" si="76"/>
        <v>0</v>
      </c>
      <c r="N347" s="1">
        <f t="shared" si="77"/>
        <v>0</v>
      </c>
      <c r="O347" s="1">
        <f t="shared" si="78"/>
        <v>0</v>
      </c>
      <c r="P347" s="1">
        <f t="shared" si="79"/>
        <v>0</v>
      </c>
      <c r="Q347" s="1">
        <f t="shared" si="88"/>
        <v>0</v>
      </c>
      <c r="R347" s="1">
        <f t="shared" si="80"/>
        <v>0</v>
      </c>
      <c r="S347" s="1">
        <f t="shared" si="81"/>
        <v>0</v>
      </c>
      <c r="T347" s="1">
        <f t="shared" si="82"/>
        <v>0</v>
      </c>
      <c r="U347" s="1">
        <f t="shared" si="83"/>
        <v>0</v>
      </c>
      <c r="V347" s="1">
        <f t="shared" si="89"/>
        <v>0</v>
      </c>
      <c r="W347" s="1">
        <f t="shared" si="84"/>
        <v>0</v>
      </c>
      <c r="X347" s="1">
        <f t="shared" si="85"/>
        <v>0</v>
      </c>
      <c r="Y347" s="1">
        <f t="shared" si="86"/>
        <v>0</v>
      </c>
      <c r="Z347" s="1">
        <f t="shared" si="87"/>
        <v>0</v>
      </c>
      <c r="AA347" s="1">
        <f t="shared" si="90"/>
        <v>0</v>
      </c>
    </row>
    <row r="348" spans="12:27" x14ac:dyDescent="0.3">
      <c r="L348">
        <v>347</v>
      </c>
      <c r="M348" s="1">
        <f t="shared" si="76"/>
        <v>0</v>
      </c>
      <c r="N348" s="1">
        <f t="shared" si="77"/>
        <v>0</v>
      </c>
      <c r="O348" s="1">
        <f t="shared" si="78"/>
        <v>0</v>
      </c>
      <c r="P348" s="1">
        <f t="shared" si="79"/>
        <v>0</v>
      </c>
      <c r="Q348" s="1">
        <f t="shared" si="88"/>
        <v>0</v>
      </c>
      <c r="R348" s="1">
        <f t="shared" si="80"/>
        <v>0</v>
      </c>
      <c r="S348" s="1">
        <f t="shared" si="81"/>
        <v>0</v>
      </c>
      <c r="T348" s="1">
        <f t="shared" si="82"/>
        <v>0</v>
      </c>
      <c r="U348" s="1">
        <f t="shared" si="83"/>
        <v>0</v>
      </c>
      <c r="V348" s="1">
        <f t="shared" si="89"/>
        <v>0</v>
      </c>
      <c r="W348" s="1">
        <f t="shared" si="84"/>
        <v>0</v>
      </c>
      <c r="X348" s="1">
        <f t="shared" si="85"/>
        <v>0</v>
      </c>
      <c r="Y348" s="1">
        <f t="shared" si="86"/>
        <v>0</v>
      </c>
      <c r="Z348" s="1">
        <f t="shared" si="87"/>
        <v>0</v>
      </c>
      <c r="AA348" s="1">
        <f t="shared" si="90"/>
        <v>0</v>
      </c>
    </row>
    <row r="349" spans="12:27" x14ac:dyDescent="0.3">
      <c r="L349">
        <v>348</v>
      </c>
      <c r="M349" s="1">
        <f t="shared" si="76"/>
        <v>0</v>
      </c>
      <c r="N349" s="1">
        <f t="shared" si="77"/>
        <v>0</v>
      </c>
      <c r="O349" s="1">
        <f t="shared" si="78"/>
        <v>0</v>
      </c>
      <c r="P349" s="1">
        <f t="shared" si="79"/>
        <v>0</v>
      </c>
      <c r="Q349" s="1">
        <f t="shared" si="88"/>
        <v>0</v>
      </c>
      <c r="R349" s="1">
        <f t="shared" si="80"/>
        <v>0</v>
      </c>
      <c r="S349" s="1">
        <f t="shared" si="81"/>
        <v>0</v>
      </c>
      <c r="T349" s="1">
        <f t="shared" si="82"/>
        <v>0</v>
      </c>
      <c r="U349" s="1">
        <f t="shared" si="83"/>
        <v>0</v>
      </c>
      <c r="V349" s="1">
        <f t="shared" si="89"/>
        <v>0</v>
      </c>
      <c r="W349" s="1">
        <f t="shared" si="84"/>
        <v>0</v>
      </c>
      <c r="X349" s="1">
        <f t="shared" si="85"/>
        <v>0</v>
      </c>
      <c r="Y349" s="1">
        <f t="shared" si="86"/>
        <v>0</v>
      </c>
      <c r="Z349" s="1">
        <f t="shared" si="87"/>
        <v>0</v>
      </c>
      <c r="AA349" s="1">
        <f t="shared" si="90"/>
        <v>0</v>
      </c>
    </row>
    <row r="350" spans="12:27" x14ac:dyDescent="0.3">
      <c r="L350">
        <v>349</v>
      </c>
      <c r="M350" s="1">
        <f t="shared" si="76"/>
        <v>0</v>
      </c>
      <c r="N350" s="1">
        <f t="shared" si="77"/>
        <v>0</v>
      </c>
      <c r="O350" s="1">
        <f t="shared" si="78"/>
        <v>0</v>
      </c>
      <c r="P350" s="1">
        <f t="shared" si="79"/>
        <v>0</v>
      </c>
      <c r="Q350" s="1">
        <f t="shared" si="88"/>
        <v>0</v>
      </c>
      <c r="R350" s="1">
        <f t="shared" si="80"/>
        <v>0</v>
      </c>
      <c r="S350" s="1">
        <f t="shared" si="81"/>
        <v>0</v>
      </c>
      <c r="T350" s="1">
        <f t="shared" si="82"/>
        <v>0</v>
      </c>
      <c r="U350" s="1">
        <f t="shared" si="83"/>
        <v>0</v>
      </c>
      <c r="V350" s="1">
        <f t="shared" si="89"/>
        <v>0</v>
      </c>
      <c r="W350" s="1">
        <f t="shared" si="84"/>
        <v>0</v>
      </c>
      <c r="X350" s="1">
        <f t="shared" si="85"/>
        <v>0</v>
      </c>
      <c r="Y350" s="1">
        <f t="shared" si="86"/>
        <v>0</v>
      </c>
      <c r="Z350" s="1">
        <f t="shared" si="87"/>
        <v>0</v>
      </c>
      <c r="AA350" s="1">
        <f t="shared" si="90"/>
        <v>0</v>
      </c>
    </row>
    <row r="351" spans="12:27" x14ac:dyDescent="0.3">
      <c r="L351">
        <v>350</v>
      </c>
      <c r="M351" s="1">
        <f t="shared" si="76"/>
        <v>0</v>
      </c>
      <c r="N351" s="1">
        <f t="shared" si="77"/>
        <v>0</v>
      </c>
      <c r="O351" s="1">
        <f t="shared" si="78"/>
        <v>0</v>
      </c>
      <c r="P351" s="1">
        <f t="shared" si="79"/>
        <v>0</v>
      </c>
      <c r="Q351" s="1">
        <f t="shared" si="88"/>
        <v>0</v>
      </c>
      <c r="R351" s="1">
        <f t="shared" si="80"/>
        <v>0</v>
      </c>
      <c r="S351" s="1">
        <f t="shared" si="81"/>
        <v>0</v>
      </c>
      <c r="T351" s="1">
        <f t="shared" si="82"/>
        <v>0</v>
      </c>
      <c r="U351" s="1">
        <f t="shared" si="83"/>
        <v>0</v>
      </c>
      <c r="V351" s="1">
        <f t="shared" si="89"/>
        <v>0</v>
      </c>
      <c r="W351" s="1">
        <f t="shared" si="84"/>
        <v>0</v>
      </c>
      <c r="X351" s="1">
        <f t="shared" si="85"/>
        <v>0</v>
      </c>
      <c r="Y351" s="1">
        <f t="shared" si="86"/>
        <v>0</v>
      </c>
      <c r="Z351" s="1">
        <f t="shared" si="87"/>
        <v>0</v>
      </c>
      <c r="AA351" s="1">
        <f t="shared" si="90"/>
        <v>0</v>
      </c>
    </row>
    <row r="352" spans="12:27" x14ac:dyDescent="0.3">
      <c r="L352">
        <v>351</v>
      </c>
      <c r="M352" s="1">
        <f t="shared" si="76"/>
        <v>0</v>
      </c>
      <c r="N352" s="1">
        <f t="shared" si="77"/>
        <v>0</v>
      </c>
      <c r="O352" s="1">
        <f t="shared" si="78"/>
        <v>0</v>
      </c>
      <c r="P352" s="1">
        <f t="shared" si="79"/>
        <v>0</v>
      </c>
      <c r="Q352" s="1">
        <f t="shared" si="88"/>
        <v>0</v>
      </c>
      <c r="R352" s="1">
        <f t="shared" si="80"/>
        <v>0</v>
      </c>
      <c r="S352" s="1">
        <f t="shared" si="81"/>
        <v>0</v>
      </c>
      <c r="T352" s="1">
        <f t="shared" si="82"/>
        <v>0</v>
      </c>
      <c r="U352" s="1">
        <f t="shared" si="83"/>
        <v>0</v>
      </c>
      <c r="V352" s="1">
        <f t="shared" si="89"/>
        <v>0</v>
      </c>
      <c r="W352" s="1">
        <f t="shared" si="84"/>
        <v>0</v>
      </c>
      <c r="X352" s="1">
        <f t="shared" si="85"/>
        <v>0</v>
      </c>
      <c r="Y352" s="1">
        <f t="shared" si="86"/>
        <v>0</v>
      </c>
      <c r="Z352" s="1">
        <f t="shared" si="87"/>
        <v>0</v>
      </c>
      <c r="AA352" s="1">
        <f t="shared" si="90"/>
        <v>0</v>
      </c>
    </row>
    <row r="353" spans="12:27" x14ac:dyDescent="0.3">
      <c r="L353">
        <v>352</v>
      </c>
      <c r="M353" s="1">
        <f t="shared" si="76"/>
        <v>0</v>
      </c>
      <c r="N353" s="1">
        <f t="shared" si="77"/>
        <v>0</v>
      </c>
      <c r="O353" s="1">
        <f t="shared" si="78"/>
        <v>0</v>
      </c>
      <c r="P353" s="1">
        <f t="shared" si="79"/>
        <v>0</v>
      </c>
      <c r="Q353" s="1">
        <f t="shared" si="88"/>
        <v>0</v>
      </c>
      <c r="R353" s="1">
        <f t="shared" si="80"/>
        <v>0</v>
      </c>
      <c r="S353" s="1">
        <f t="shared" si="81"/>
        <v>0</v>
      </c>
      <c r="T353" s="1">
        <f t="shared" si="82"/>
        <v>0</v>
      </c>
      <c r="U353" s="1">
        <f t="shared" si="83"/>
        <v>0</v>
      </c>
      <c r="V353" s="1">
        <f t="shared" si="89"/>
        <v>0</v>
      </c>
      <c r="W353" s="1">
        <f t="shared" si="84"/>
        <v>0</v>
      </c>
      <c r="X353" s="1">
        <f t="shared" si="85"/>
        <v>0</v>
      </c>
      <c r="Y353" s="1">
        <f t="shared" si="86"/>
        <v>0</v>
      </c>
      <c r="Z353" s="1">
        <f t="shared" si="87"/>
        <v>0</v>
      </c>
      <c r="AA353" s="1">
        <f t="shared" si="90"/>
        <v>0</v>
      </c>
    </row>
    <row r="354" spans="12:27" x14ac:dyDescent="0.3">
      <c r="L354">
        <v>353</v>
      </c>
      <c r="M354" s="1">
        <f t="shared" si="76"/>
        <v>0</v>
      </c>
      <c r="N354" s="1">
        <f t="shared" si="77"/>
        <v>0</v>
      </c>
      <c r="O354" s="1">
        <f t="shared" si="78"/>
        <v>0</v>
      </c>
      <c r="P354" s="1">
        <f t="shared" si="79"/>
        <v>0</v>
      </c>
      <c r="Q354" s="1">
        <f t="shared" si="88"/>
        <v>0</v>
      </c>
      <c r="R354" s="1">
        <f t="shared" si="80"/>
        <v>0</v>
      </c>
      <c r="S354" s="1">
        <f t="shared" si="81"/>
        <v>0</v>
      </c>
      <c r="T354" s="1">
        <f t="shared" si="82"/>
        <v>0</v>
      </c>
      <c r="U354" s="1">
        <f t="shared" si="83"/>
        <v>0</v>
      </c>
      <c r="V354" s="1">
        <f t="shared" si="89"/>
        <v>0</v>
      </c>
      <c r="W354" s="1">
        <f t="shared" si="84"/>
        <v>0</v>
      </c>
      <c r="X354" s="1">
        <f t="shared" si="85"/>
        <v>0</v>
      </c>
      <c r="Y354" s="1">
        <f t="shared" si="86"/>
        <v>0</v>
      </c>
      <c r="Z354" s="1">
        <f t="shared" si="87"/>
        <v>0</v>
      </c>
      <c r="AA354" s="1">
        <f t="shared" si="90"/>
        <v>0</v>
      </c>
    </row>
    <row r="355" spans="12:27" x14ac:dyDescent="0.3">
      <c r="L355">
        <v>354</v>
      </c>
      <c r="M355" s="1">
        <f t="shared" si="76"/>
        <v>0</v>
      </c>
      <c r="N355" s="1">
        <f t="shared" si="77"/>
        <v>0</v>
      </c>
      <c r="O355" s="1">
        <f t="shared" si="78"/>
        <v>0</v>
      </c>
      <c r="P355" s="1">
        <f t="shared" si="79"/>
        <v>0</v>
      </c>
      <c r="Q355" s="1">
        <f t="shared" si="88"/>
        <v>0</v>
      </c>
      <c r="R355" s="1">
        <f t="shared" si="80"/>
        <v>0</v>
      </c>
      <c r="S355" s="1">
        <f t="shared" si="81"/>
        <v>0</v>
      </c>
      <c r="T355" s="1">
        <f t="shared" si="82"/>
        <v>0</v>
      </c>
      <c r="U355" s="1">
        <f t="shared" si="83"/>
        <v>0</v>
      </c>
      <c r="V355" s="1">
        <f t="shared" si="89"/>
        <v>0</v>
      </c>
      <c r="W355" s="1">
        <f t="shared" si="84"/>
        <v>0</v>
      </c>
      <c r="X355" s="1">
        <f t="shared" si="85"/>
        <v>0</v>
      </c>
      <c r="Y355" s="1">
        <f t="shared" si="86"/>
        <v>0</v>
      </c>
      <c r="Z355" s="1">
        <f t="shared" si="87"/>
        <v>0</v>
      </c>
      <c r="AA355" s="1">
        <f t="shared" si="90"/>
        <v>0</v>
      </c>
    </row>
    <row r="356" spans="12:27" x14ac:dyDescent="0.3">
      <c r="L356">
        <v>355</v>
      </c>
      <c r="M356" s="1">
        <f t="shared" si="76"/>
        <v>0</v>
      </c>
      <c r="N356" s="1">
        <f t="shared" si="77"/>
        <v>0</v>
      </c>
      <c r="O356" s="1">
        <f t="shared" si="78"/>
        <v>0</v>
      </c>
      <c r="P356" s="1">
        <f t="shared" si="79"/>
        <v>0</v>
      </c>
      <c r="Q356" s="1">
        <f t="shared" si="88"/>
        <v>0</v>
      </c>
      <c r="R356" s="1">
        <f t="shared" si="80"/>
        <v>0</v>
      </c>
      <c r="S356" s="1">
        <f t="shared" si="81"/>
        <v>0</v>
      </c>
      <c r="T356" s="1">
        <f t="shared" si="82"/>
        <v>0</v>
      </c>
      <c r="U356" s="1">
        <f t="shared" si="83"/>
        <v>0</v>
      </c>
      <c r="V356" s="1">
        <f t="shared" si="89"/>
        <v>0</v>
      </c>
      <c r="W356" s="1">
        <f t="shared" si="84"/>
        <v>0</v>
      </c>
      <c r="X356" s="1">
        <f t="shared" si="85"/>
        <v>0</v>
      </c>
      <c r="Y356" s="1">
        <f t="shared" si="86"/>
        <v>0</v>
      </c>
      <c r="Z356" s="1">
        <f t="shared" si="87"/>
        <v>0</v>
      </c>
      <c r="AA356" s="1">
        <f t="shared" si="90"/>
        <v>0</v>
      </c>
    </row>
    <row r="357" spans="12:27" x14ac:dyDescent="0.3">
      <c r="L357">
        <v>356</v>
      </c>
      <c r="M357" s="1">
        <f t="shared" si="76"/>
        <v>0</v>
      </c>
      <c r="N357" s="1">
        <f t="shared" si="77"/>
        <v>0</v>
      </c>
      <c r="O357" s="1">
        <f t="shared" si="78"/>
        <v>0</v>
      </c>
      <c r="P357" s="1">
        <f t="shared" si="79"/>
        <v>0</v>
      </c>
      <c r="Q357" s="1">
        <f t="shared" si="88"/>
        <v>0</v>
      </c>
      <c r="R357" s="1">
        <f t="shared" si="80"/>
        <v>0</v>
      </c>
      <c r="S357" s="1">
        <f t="shared" si="81"/>
        <v>0</v>
      </c>
      <c r="T357" s="1">
        <f t="shared" si="82"/>
        <v>0</v>
      </c>
      <c r="U357" s="1">
        <f t="shared" si="83"/>
        <v>0</v>
      </c>
      <c r="V357" s="1">
        <f t="shared" si="89"/>
        <v>0</v>
      </c>
      <c r="W357" s="1">
        <f t="shared" si="84"/>
        <v>0</v>
      </c>
      <c r="X357" s="1">
        <f t="shared" si="85"/>
        <v>0</v>
      </c>
      <c r="Y357" s="1">
        <f t="shared" si="86"/>
        <v>0</v>
      </c>
      <c r="Z357" s="1">
        <f t="shared" si="87"/>
        <v>0</v>
      </c>
      <c r="AA357" s="1">
        <f t="shared" si="90"/>
        <v>0</v>
      </c>
    </row>
    <row r="358" spans="12:27" x14ac:dyDescent="0.3">
      <c r="L358">
        <v>357</v>
      </c>
      <c r="M358" s="1">
        <f t="shared" si="76"/>
        <v>0</v>
      </c>
      <c r="N358" s="1">
        <f t="shared" si="77"/>
        <v>0</v>
      </c>
      <c r="O358" s="1">
        <f t="shared" si="78"/>
        <v>0</v>
      </c>
      <c r="P358" s="1">
        <f t="shared" si="79"/>
        <v>0</v>
      </c>
      <c r="Q358" s="1">
        <f t="shared" si="88"/>
        <v>0</v>
      </c>
      <c r="R358" s="1">
        <f t="shared" si="80"/>
        <v>0</v>
      </c>
      <c r="S358" s="1">
        <f t="shared" si="81"/>
        <v>0</v>
      </c>
      <c r="T358" s="1">
        <f t="shared" si="82"/>
        <v>0</v>
      </c>
      <c r="U358" s="1">
        <f t="shared" si="83"/>
        <v>0</v>
      </c>
      <c r="V358" s="1">
        <f t="shared" si="89"/>
        <v>0</v>
      </c>
      <c r="W358" s="1">
        <f t="shared" si="84"/>
        <v>0</v>
      </c>
      <c r="X358" s="1">
        <f t="shared" si="85"/>
        <v>0</v>
      </c>
      <c r="Y358" s="1">
        <f t="shared" si="86"/>
        <v>0</v>
      </c>
      <c r="Z358" s="1">
        <f t="shared" si="87"/>
        <v>0</v>
      </c>
      <c r="AA358" s="1">
        <f t="shared" si="90"/>
        <v>0</v>
      </c>
    </row>
    <row r="359" spans="12:27" x14ac:dyDescent="0.3">
      <c r="L359">
        <v>358</v>
      </c>
      <c r="M359" s="1">
        <f t="shared" si="76"/>
        <v>0</v>
      </c>
      <c r="N359" s="1">
        <f t="shared" si="77"/>
        <v>0</v>
      </c>
      <c r="O359" s="1">
        <f t="shared" si="78"/>
        <v>0</v>
      </c>
      <c r="P359" s="1">
        <f t="shared" si="79"/>
        <v>0</v>
      </c>
      <c r="Q359" s="1">
        <f t="shared" si="88"/>
        <v>0</v>
      </c>
      <c r="R359" s="1">
        <f t="shared" si="80"/>
        <v>0</v>
      </c>
      <c r="S359" s="1">
        <f t="shared" si="81"/>
        <v>0</v>
      </c>
      <c r="T359" s="1">
        <f t="shared" si="82"/>
        <v>0</v>
      </c>
      <c r="U359" s="1">
        <f t="shared" si="83"/>
        <v>0</v>
      </c>
      <c r="V359" s="1">
        <f t="shared" si="89"/>
        <v>0</v>
      </c>
      <c r="W359" s="1">
        <f t="shared" si="84"/>
        <v>0</v>
      </c>
      <c r="X359" s="1">
        <f t="shared" si="85"/>
        <v>0</v>
      </c>
      <c r="Y359" s="1">
        <f t="shared" si="86"/>
        <v>0</v>
      </c>
      <c r="Z359" s="1">
        <f t="shared" si="87"/>
        <v>0</v>
      </c>
      <c r="AA359" s="1">
        <f t="shared" si="90"/>
        <v>0</v>
      </c>
    </row>
    <row r="360" spans="12:27" x14ac:dyDescent="0.3">
      <c r="L360">
        <v>359</v>
      </c>
      <c r="M360" s="1">
        <f t="shared" si="76"/>
        <v>0</v>
      </c>
      <c r="N360" s="1">
        <f t="shared" si="77"/>
        <v>0</v>
      </c>
      <c r="O360" s="1">
        <f t="shared" si="78"/>
        <v>0</v>
      </c>
      <c r="P360" s="1">
        <f t="shared" si="79"/>
        <v>0</v>
      </c>
      <c r="Q360" s="1">
        <f t="shared" si="88"/>
        <v>0</v>
      </c>
      <c r="R360" s="1">
        <f t="shared" si="80"/>
        <v>0</v>
      </c>
      <c r="S360" s="1">
        <f t="shared" si="81"/>
        <v>0</v>
      </c>
      <c r="T360" s="1">
        <f t="shared" si="82"/>
        <v>0</v>
      </c>
      <c r="U360" s="1">
        <f t="shared" si="83"/>
        <v>0</v>
      </c>
      <c r="V360" s="1">
        <f t="shared" si="89"/>
        <v>0</v>
      </c>
      <c r="W360" s="1">
        <f t="shared" si="84"/>
        <v>0</v>
      </c>
      <c r="X360" s="1">
        <f t="shared" si="85"/>
        <v>0</v>
      </c>
      <c r="Y360" s="1">
        <f t="shared" si="86"/>
        <v>0</v>
      </c>
      <c r="Z360" s="1">
        <f t="shared" si="87"/>
        <v>0</v>
      </c>
      <c r="AA360" s="1">
        <f t="shared" si="90"/>
        <v>0</v>
      </c>
    </row>
    <row r="361" spans="12:27" x14ac:dyDescent="0.3">
      <c r="L361">
        <v>360</v>
      </c>
      <c r="M361" s="1">
        <f t="shared" si="76"/>
        <v>0</v>
      </c>
      <c r="N361" s="1">
        <f t="shared" si="77"/>
        <v>0</v>
      </c>
      <c r="O361" s="1">
        <f t="shared" si="78"/>
        <v>0</v>
      </c>
      <c r="P361" s="1">
        <f t="shared" si="79"/>
        <v>0</v>
      </c>
      <c r="Q361" s="1">
        <f t="shared" si="88"/>
        <v>0</v>
      </c>
      <c r="R361" s="1">
        <f t="shared" si="80"/>
        <v>0</v>
      </c>
      <c r="S361" s="1">
        <f t="shared" si="81"/>
        <v>0</v>
      </c>
      <c r="T361" s="1">
        <f t="shared" si="82"/>
        <v>0</v>
      </c>
      <c r="U361" s="1">
        <f t="shared" si="83"/>
        <v>0</v>
      </c>
      <c r="V361" s="1">
        <f t="shared" si="89"/>
        <v>0</v>
      </c>
      <c r="W361" s="1">
        <f t="shared" si="84"/>
        <v>0</v>
      </c>
      <c r="X361" s="1">
        <f t="shared" si="85"/>
        <v>0</v>
      </c>
      <c r="Y361" s="1">
        <f t="shared" si="86"/>
        <v>0</v>
      </c>
      <c r="Z361" s="1">
        <f t="shared" si="87"/>
        <v>0</v>
      </c>
      <c r="AA361" s="1">
        <f t="shared" si="90"/>
        <v>0</v>
      </c>
    </row>
    <row r="362" spans="12:27" x14ac:dyDescent="0.3">
      <c r="L362">
        <v>361</v>
      </c>
      <c r="M362" s="1">
        <f t="shared" si="76"/>
        <v>0</v>
      </c>
      <c r="N362" s="1">
        <f t="shared" si="77"/>
        <v>0</v>
      </c>
      <c r="O362" s="1">
        <f t="shared" si="78"/>
        <v>0</v>
      </c>
      <c r="P362" s="1">
        <f t="shared" si="79"/>
        <v>0</v>
      </c>
      <c r="Q362" s="1">
        <f t="shared" si="88"/>
        <v>0</v>
      </c>
      <c r="R362" s="1">
        <f t="shared" si="80"/>
        <v>0</v>
      </c>
      <c r="S362" s="1">
        <f t="shared" si="81"/>
        <v>0</v>
      </c>
      <c r="T362" s="1">
        <f t="shared" si="82"/>
        <v>0</v>
      </c>
      <c r="U362" s="1">
        <f t="shared" si="83"/>
        <v>0</v>
      </c>
      <c r="V362" s="1">
        <f t="shared" si="89"/>
        <v>0</v>
      </c>
      <c r="W362" s="1">
        <f t="shared" si="84"/>
        <v>0</v>
      </c>
      <c r="X362" s="1">
        <f t="shared" si="85"/>
        <v>0</v>
      </c>
      <c r="Y362" s="1">
        <f t="shared" si="86"/>
        <v>0</v>
      </c>
      <c r="Z362" s="1">
        <f t="shared" si="87"/>
        <v>0</v>
      </c>
      <c r="AA362" s="1">
        <f t="shared" si="90"/>
        <v>0</v>
      </c>
    </row>
    <row r="363" spans="12:27" x14ac:dyDescent="0.3">
      <c r="L363">
        <v>362</v>
      </c>
      <c r="M363" s="1">
        <f t="shared" si="76"/>
        <v>0</v>
      </c>
      <c r="N363" s="1">
        <f t="shared" si="77"/>
        <v>0</v>
      </c>
      <c r="O363" s="1">
        <f t="shared" si="78"/>
        <v>0</v>
      </c>
      <c r="P363" s="1">
        <f t="shared" si="79"/>
        <v>0</v>
      </c>
      <c r="Q363" s="1">
        <f t="shared" si="88"/>
        <v>0</v>
      </c>
      <c r="R363" s="1">
        <f t="shared" si="80"/>
        <v>0</v>
      </c>
      <c r="S363" s="1">
        <f t="shared" si="81"/>
        <v>0</v>
      </c>
      <c r="T363" s="1">
        <f t="shared" si="82"/>
        <v>0</v>
      </c>
      <c r="U363" s="1">
        <f t="shared" si="83"/>
        <v>0</v>
      </c>
      <c r="V363" s="1">
        <f t="shared" si="89"/>
        <v>0</v>
      </c>
      <c r="W363" s="1">
        <f t="shared" si="84"/>
        <v>0</v>
      </c>
      <c r="X363" s="1">
        <f t="shared" si="85"/>
        <v>0</v>
      </c>
      <c r="Y363" s="1">
        <f t="shared" si="86"/>
        <v>0</v>
      </c>
      <c r="Z363" s="1">
        <f t="shared" si="87"/>
        <v>0</v>
      </c>
      <c r="AA363" s="1">
        <f t="shared" si="90"/>
        <v>0</v>
      </c>
    </row>
    <row r="364" spans="12:27" x14ac:dyDescent="0.3">
      <c r="L364">
        <v>363</v>
      </c>
      <c r="M364" s="1">
        <f t="shared" si="76"/>
        <v>0</v>
      </c>
      <c r="N364" s="1">
        <f t="shared" si="77"/>
        <v>0</v>
      </c>
      <c r="O364" s="1">
        <f t="shared" si="78"/>
        <v>0</v>
      </c>
      <c r="P364" s="1">
        <f t="shared" si="79"/>
        <v>0</v>
      </c>
      <c r="Q364" s="1">
        <f t="shared" si="88"/>
        <v>0</v>
      </c>
      <c r="R364" s="1">
        <f t="shared" si="80"/>
        <v>0</v>
      </c>
      <c r="S364" s="1">
        <f t="shared" si="81"/>
        <v>0</v>
      </c>
      <c r="T364" s="1">
        <f t="shared" si="82"/>
        <v>0</v>
      </c>
      <c r="U364" s="1">
        <f t="shared" si="83"/>
        <v>0</v>
      </c>
      <c r="V364" s="1">
        <f t="shared" si="89"/>
        <v>0</v>
      </c>
      <c r="W364" s="1">
        <f t="shared" si="84"/>
        <v>0</v>
      </c>
      <c r="X364" s="1">
        <f t="shared" si="85"/>
        <v>0</v>
      </c>
      <c r="Y364" s="1">
        <f t="shared" si="86"/>
        <v>0</v>
      </c>
      <c r="Z364" s="1">
        <f t="shared" si="87"/>
        <v>0</v>
      </c>
      <c r="AA364" s="1">
        <f t="shared" si="90"/>
        <v>0</v>
      </c>
    </row>
    <row r="365" spans="12:27" x14ac:dyDescent="0.3">
      <c r="L365">
        <v>364</v>
      </c>
      <c r="M365" s="1">
        <f t="shared" si="76"/>
        <v>0</v>
      </c>
      <c r="N365" s="1">
        <f t="shared" si="77"/>
        <v>0</v>
      </c>
      <c r="O365" s="1">
        <f t="shared" si="78"/>
        <v>0</v>
      </c>
      <c r="P365" s="1">
        <f t="shared" si="79"/>
        <v>0</v>
      </c>
      <c r="Q365" s="1">
        <f t="shared" si="88"/>
        <v>0</v>
      </c>
      <c r="R365" s="1">
        <f t="shared" si="80"/>
        <v>0</v>
      </c>
      <c r="S365" s="1">
        <f t="shared" si="81"/>
        <v>0</v>
      </c>
      <c r="T365" s="1">
        <f t="shared" si="82"/>
        <v>0</v>
      </c>
      <c r="U365" s="1">
        <f t="shared" si="83"/>
        <v>0</v>
      </c>
      <c r="V365" s="1">
        <f t="shared" si="89"/>
        <v>0</v>
      </c>
      <c r="W365" s="1">
        <f t="shared" si="84"/>
        <v>0</v>
      </c>
      <c r="X365" s="1">
        <f t="shared" si="85"/>
        <v>0</v>
      </c>
      <c r="Y365" s="1">
        <f t="shared" si="86"/>
        <v>0</v>
      </c>
      <c r="Z365" s="1">
        <f t="shared" si="87"/>
        <v>0</v>
      </c>
      <c r="AA365" s="1">
        <f t="shared" si="90"/>
        <v>0</v>
      </c>
    </row>
    <row r="366" spans="12:27" x14ac:dyDescent="0.3">
      <c r="L366">
        <v>365</v>
      </c>
      <c r="M366" s="1">
        <f t="shared" si="76"/>
        <v>0</v>
      </c>
      <c r="N366" s="1">
        <f t="shared" si="77"/>
        <v>0</v>
      </c>
      <c r="O366" s="1">
        <f t="shared" si="78"/>
        <v>0</v>
      </c>
      <c r="P366" s="1">
        <f t="shared" si="79"/>
        <v>0</v>
      </c>
      <c r="Q366" s="1">
        <f t="shared" si="88"/>
        <v>0</v>
      </c>
      <c r="R366" s="1">
        <f t="shared" si="80"/>
        <v>0</v>
      </c>
      <c r="S366" s="1">
        <f t="shared" si="81"/>
        <v>0</v>
      </c>
      <c r="T366" s="1">
        <f t="shared" si="82"/>
        <v>0</v>
      </c>
      <c r="U366" s="1">
        <f t="shared" si="83"/>
        <v>0</v>
      </c>
      <c r="V366" s="1">
        <f t="shared" si="89"/>
        <v>0</v>
      </c>
      <c r="W366" s="1">
        <f t="shared" si="84"/>
        <v>0</v>
      </c>
      <c r="X366" s="1">
        <f t="shared" si="85"/>
        <v>0</v>
      </c>
      <c r="Y366" s="1">
        <f t="shared" si="86"/>
        <v>0</v>
      </c>
      <c r="Z366" s="1">
        <f t="shared" si="87"/>
        <v>0</v>
      </c>
      <c r="AA366" s="1">
        <f t="shared" si="90"/>
        <v>0</v>
      </c>
    </row>
    <row r="367" spans="12:27" x14ac:dyDescent="0.3">
      <c r="L367">
        <v>366</v>
      </c>
      <c r="M367" s="1">
        <f t="shared" ref="M367:M398" si="91">IF(OR(kcjd&lt;jdplant1,kcjd&gt;jdplant1+C$21),0,kc.ini.1)</f>
        <v>0</v>
      </c>
      <c r="N367" s="1">
        <f t="shared" ref="N367:N398" si="92">IF(OR(kcjd&lt;jdplant1+C$21,kcjd&gt;jdplant1+SUM(C$21,D$21)),0,+H$21+(kcjd-(jdplant1+C$21))/(jdplant1+SUM(C$21,D$21)-(jdplant1+C$21))*(I$21-H$21))</f>
        <v>0</v>
      </c>
      <c r="O367" s="1">
        <f t="shared" ref="O367:O398" si="93">IF(OR(kcjd&lt;jdplant1+SUM(C$21,D$21),kcjd&gt;jdplant1+SUM(C$21,D$21,E$21)),0,kc.mid.1)</f>
        <v>0</v>
      </c>
      <c r="P367" s="1">
        <f t="shared" ref="P367:P398" si="94">IF(OR(kcjd&lt;jdplant1+SUM(C$21:E$21),kcjd&gt;jdplant1+G$21),0,+I$21-(kcjd-(jdplant1+SUM(C$21:E$21)))/((jdplant1+G$21)-(jdplant1+SUM(C$21:E$21)))*(I$21-J$21))</f>
        <v>0</v>
      </c>
      <c r="Q367" s="1">
        <f t="shared" ref="Q367:Q430" si="95">MAX(M367:P367)</f>
        <v>0</v>
      </c>
      <c r="R367" s="1">
        <f t="shared" ref="R367:R398" si="96">IF(OR(kcjd&lt;jdplant2,kcjd&gt;jdplant2+$C$22),0,kc.ini.2)</f>
        <v>0</v>
      </c>
      <c r="S367" s="1">
        <f t="shared" ref="S367:S398" si="97">IF(OR(kcjd&lt;jdplant2+$C$22,kcjd&gt;jdplant2+SUM($C$22,$D$22)),0,+kc.ini.2+(kcjd-(jdplant2+$C$22))/(jdplant2+SUM($C$22,$D$22)-(jdplant2+$C$22))*(kc.mid.2-kc.ini.2))</f>
        <v>0</v>
      </c>
      <c r="T367" s="1">
        <f t="shared" ref="T367:T398" si="98">IF(OR(kcjd&lt;jdplant2+SUM($C$22,$D$22),kcjd&gt;jdplant2+SUM($C$22,$D$22,$E$22)),0,kc.mid.2)</f>
        <v>0</v>
      </c>
      <c r="U367" s="1">
        <f t="shared" ref="U367:U398" si="99">IF(OR(kcjd&lt;jdplant2+SUM($C$22:$E$22),kcjd&gt;jdplant2+$G$22),0,+kc.mid.2-(kcjd-(jdplant2+SUM($C$22:$E$22)))/((jdplant2+$G$22)-(jdplant2+SUM($C$22:$E$22)))*(kc.mid.2-kc.late.2))</f>
        <v>0</v>
      </c>
      <c r="V367" s="1">
        <f t="shared" ref="V367:V430" si="100">MAX(R367:U367)</f>
        <v>0</v>
      </c>
      <c r="W367" s="1">
        <f t="shared" ref="W367:W398" si="101">IF(OR(kcjd&lt;jdplant3,kcjd&gt;jdplant3+$C$23),0,kc.ini.3)</f>
        <v>0</v>
      </c>
      <c r="X367" s="1">
        <f t="shared" ref="X367:X398" si="102">IF(OR(kcjd&lt;jdplant3+$C$23,kcjd&gt;jdplant3+SUM($C$23,$D$23)),0,+kc.ini.3+(kcjd-(jdplant3+$C$23))/(jdplant3+SUM($C$23,$D$23)-(jdplant3+$C$23))*(kc.mid.3-kc.ini.3))</f>
        <v>0</v>
      </c>
      <c r="Y367" s="1">
        <f t="shared" ref="Y367:Y398" si="103">IF(OR(kcjd&lt;jdplant3+SUM($C$23,$D$23),kcjd&gt;jdplant3+SUM($C$23,$D$23,$E$23)),0,kc.mid.3)</f>
        <v>0</v>
      </c>
      <c r="Z367" s="1">
        <f t="shared" ref="Z367:Z398" si="104">IF(OR(kcjd&lt;jdplant3+SUM($C$23:$E$23),kcjd&gt;jdplant3+$G$23),0,+kc.mid.3-(kcjd-(jdplant3+SUM($C$23:$E$23)))/((jdplant3+$G$23)-(jdplant3+SUM($C$23:$E$23)))*(kc.mid.3-kc.late.3))</f>
        <v>0</v>
      </c>
      <c r="AA367" s="1">
        <f t="shared" ref="AA367:AA430" si="105">MAX(W367:Z367)</f>
        <v>0</v>
      </c>
    </row>
    <row r="368" spans="12:27" x14ac:dyDescent="0.3">
      <c r="L368">
        <v>367</v>
      </c>
      <c r="M368" s="1">
        <f t="shared" si="91"/>
        <v>0</v>
      </c>
      <c r="N368" s="1">
        <f t="shared" si="92"/>
        <v>0</v>
      </c>
      <c r="O368" s="1">
        <f t="shared" si="93"/>
        <v>0</v>
      </c>
      <c r="P368" s="1">
        <f t="shared" si="94"/>
        <v>0</v>
      </c>
      <c r="Q368" s="1">
        <f t="shared" si="95"/>
        <v>0</v>
      </c>
      <c r="R368" s="1">
        <f t="shared" si="96"/>
        <v>0</v>
      </c>
      <c r="S368" s="1">
        <f t="shared" si="97"/>
        <v>0</v>
      </c>
      <c r="T368" s="1">
        <f t="shared" si="98"/>
        <v>0</v>
      </c>
      <c r="U368" s="1">
        <f t="shared" si="99"/>
        <v>0</v>
      </c>
      <c r="V368" s="1">
        <f t="shared" si="100"/>
        <v>0</v>
      </c>
      <c r="W368" s="1">
        <f t="shared" si="101"/>
        <v>0</v>
      </c>
      <c r="X368" s="1">
        <f t="shared" si="102"/>
        <v>0</v>
      </c>
      <c r="Y368" s="1">
        <f t="shared" si="103"/>
        <v>0</v>
      </c>
      <c r="Z368" s="1">
        <f t="shared" si="104"/>
        <v>0</v>
      </c>
      <c r="AA368" s="1">
        <f t="shared" si="105"/>
        <v>0</v>
      </c>
    </row>
    <row r="369" spans="12:27" x14ac:dyDescent="0.3">
      <c r="L369">
        <v>368</v>
      </c>
      <c r="M369" s="1">
        <f t="shared" si="91"/>
        <v>0</v>
      </c>
      <c r="N369" s="1">
        <f t="shared" si="92"/>
        <v>0</v>
      </c>
      <c r="O369" s="1">
        <f t="shared" si="93"/>
        <v>0</v>
      </c>
      <c r="P369" s="1">
        <f t="shared" si="94"/>
        <v>0</v>
      </c>
      <c r="Q369" s="1">
        <f t="shared" si="95"/>
        <v>0</v>
      </c>
      <c r="R369" s="1">
        <f t="shared" si="96"/>
        <v>0</v>
      </c>
      <c r="S369" s="1">
        <f t="shared" si="97"/>
        <v>0</v>
      </c>
      <c r="T369" s="1">
        <f t="shared" si="98"/>
        <v>0</v>
      </c>
      <c r="U369" s="1">
        <f t="shared" si="99"/>
        <v>0</v>
      </c>
      <c r="V369" s="1">
        <f t="shared" si="100"/>
        <v>0</v>
      </c>
      <c r="W369" s="1">
        <f t="shared" si="101"/>
        <v>0</v>
      </c>
      <c r="X369" s="1">
        <f t="shared" si="102"/>
        <v>0</v>
      </c>
      <c r="Y369" s="1">
        <f t="shared" si="103"/>
        <v>0</v>
      </c>
      <c r="Z369" s="1">
        <f t="shared" si="104"/>
        <v>0</v>
      </c>
      <c r="AA369" s="1">
        <f t="shared" si="105"/>
        <v>0</v>
      </c>
    </row>
    <row r="370" spans="12:27" x14ac:dyDescent="0.3">
      <c r="L370">
        <v>369</v>
      </c>
      <c r="M370" s="1">
        <f t="shared" si="91"/>
        <v>0</v>
      </c>
      <c r="N370" s="1">
        <f t="shared" si="92"/>
        <v>0</v>
      </c>
      <c r="O370" s="1">
        <f t="shared" si="93"/>
        <v>0</v>
      </c>
      <c r="P370" s="1">
        <f t="shared" si="94"/>
        <v>0</v>
      </c>
      <c r="Q370" s="1">
        <f t="shared" si="95"/>
        <v>0</v>
      </c>
      <c r="R370" s="1">
        <f t="shared" si="96"/>
        <v>0</v>
      </c>
      <c r="S370" s="1">
        <f t="shared" si="97"/>
        <v>0</v>
      </c>
      <c r="T370" s="1">
        <f t="shared" si="98"/>
        <v>0</v>
      </c>
      <c r="U370" s="1">
        <f t="shared" si="99"/>
        <v>0</v>
      </c>
      <c r="V370" s="1">
        <f t="shared" si="100"/>
        <v>0</v>
      </c>
      <c r="W370" s="1">
        <f t="shared" si="101"/>
        <v>0</v>
      </c>
      <c r="X370" s="1">
        <f t="shared" si="102"/>
        <v>0</v>
      </c>
      <c r="Y370" s="1">
        <f t="shared" si="103"/>
        <v>0</v>
      </c>
      <c r="Z370" s="1">
        <f t="shared" si="104"/>
        <v>0</v>
      </c>
      <c r="AA370" s="1">
        <f t="shared" si="105"/>
        <v>0</v>
      </c>
    </row>
    <row r="371" spans="12:27" x14ac:dyDescent="0.3">
      <c r="L371">
        <v>370</v>
      </c>
      <c r="M371" s="1">
        <f t="shared" si="91"/>
        <v>0</v>
      </c>
      <c r="N371" s="1">
        <f t="shared" si="92"/>
        <v>0</v>
      </c>
      <c r="O371" s="1">
        <f t="shared" si="93"/>
        <v>0</v>
      </c>
      <c r="P371" s="1">
        <f t="shared" si="94"/>
        <v>0</v>
      </c>
      <c r="Q371" s="1">
        <f t="shared" si="95"/>
        <v>0</v>
      </c>
      <c r="R371" s="1">
        <f t="shared" si="96"/>
        <v>0</v>
      </c>
      <c r="S371" s="1">
        <f t="shared" si="97"/>
        <v>0</v>
      </c>
      <c r="T371" s="1">
        <f t="shared" si="98"/>
        <v>0</v>
      </c>
      <c r="U371" s="1">
        <f t="shared" si="99"/>
        <v>0</v>
      </c>
      <c r="V371" s="1">
        <f t="shared" si="100"/>
        <v>0</v>
      </c>
      <c r="W371" s="1">
        <f t="shared" si="101"/>
        <v>0</v>
      </c>
      <c r="X371" s="1">
        <f t="shared" si="102"/>
        <v>0</v>
      </c>
      <c r="Y371" s="1">
        <f t="shared" si="103"/>
        <v>0</v>
      </c>
      <c r="Z371" s="1">
        <f t="shared" si="104"/>
        <v>0</v>
      </c>
      <c r="AA371" s="1">
        <f t="shared" si="105"/>
        <v>0</v>
      </c>
    </row>
    <row r="372" spans="12:27" x14ac:dyDescent="0.3">
      <c r="L372">
        <v>371</v>
      </c>
      <c r="M372" s="1">
        <f t="shared" si="91"/>
        <v>0</v>
      </c>
      <c r="N372" s="1">
        <f t="shared" si="92"/>
        <v>0</v>
      </c>
      <c r="O372" s="1">
        <f t="shared" si="93"/>
        <v>0</v>
      </c>
      <c r="P372" s="1">
        <f t="shared" si="94"/>
        <v>0</v>
      </c>
      <c r="Q372" s="1">
        <f t="shared" si="95"/>
        <v>0</v>
      </c>
      <c r="R372" s="1">
        <f t="shared" si="96"/>
        <v>0</v>
      </c>
      <c r="S372" s="1">
        <f t="shared" si="97"/>
        <v>0</v>
      </c>
      <c r="T372" s="1">
        <f t="shared" si="98"/>
        <v>0</v>
      </c>
      <c r="U372" s="1">
        <f t="shared" si="99"/>
        <v>0</v>
      </c>
      <c r="V372" s="1">
        <f t="shared" si="100"/>
        <v>0</v>
      </c>
      <c r="W372" s="1">
        <f t="shared" si="101"/>
        <v>0</v>
      </c>
      <c r="X372" s="1">
        <f t="shared" si="102"/>
        <v>0</v>
      </c>
      <c r="Y372" s="1">
        <f t="shared" si="103"/>
        <v>0</v>
      </c>
      <c r="Z372" s="1">
        <f t="shared" si="104"/>
        <v>0</v>
      </c>
      <c r="AA372" s="1">
        <f t="shared" si="105"/>
        <v>0</v>
      </c>
    </row>
    <row r="373" spans="12:27" x14ac:dyDescent="0.3">
      <c r="L373">
        <v>372</v>
      </c>
      <c r="M373" s="1">
        <f t="shared" si="91"/>
        <v>0</v>
      </c>
      <c r="N373" s="1">
        <f t="shared" si="92"/>
        <v>0</v>
      </c>
      <c r="O373" s="1">
        <f t="shared" si="93"/>
        <v>0</v>
      </c>
      <c r="P373" s="1">
        <f t="shared" si="94"/>
        <v>0</v>
      </c>
      <c r="Q373" s="1">
        <f t="shared" si="95"/>
        <v>0</v>
      </c>
      <c r="R373" s="1">
        <f t="shared" si="96"/>
        <v>0</v>
      </c>
      <c r="S373" s="1">
        <f t="shared" si="97"/>
        <v>0</v>
      </c>
      <c r="T373" s="1">
        <f t="shared" si="98"/>
        <v>0</v>
      </c>
      <c r="U373" s="1">
        <f t="shared" si="99"/>
        <v>0</v>
      </c>
      <c r="V373" s="1">
        <f t="shared" si="100"/>
        <v>0</v>
      </c>
      <c r="W373" s="1">
        <f t="shared" si="101"/>
        <v>0</v>
      </c>
      <c r="X373" s="1">
        <f t="shared" si="102"/>
        <v>0</v>
      </c>
      <c r="Y373" s="1">
        <f t="shared" si="103"/>
        <v>0</v>
      </c>
      <c r="Z373" s="1">
        <f t="shared" si="104"/>
        <v>0</v>
      </c>
      <c r="AA373" s="1">
        <f t="shared" si="105"/>
        <v>0</v>
      </c>
    </row>
    <row r="374" spans="12:27" x14ac:dyDescent="0.3">
      <c r="L374">
        <v>373</v>
      </c>
      <c r="M374" s="1">
        <f t="shared" si="91"/>
        <v>0</v>
      </c>
      <c r="N374" s="1">
        <f t="shared" si="92"/>
        <v>0</v>
      </c>
      <c r="O374" s="1">
        <f t="shared" si="93"/>
        <v>0</v>
      </c>
      <c r="P374" s="1">
        <f t="shared" si="94"/>
        <v>0</v>
      </c>
      <c r="Q374" s="1">
        <f t="shared" si="95"/>
        <v>0</v>
      </c>
      <c r="R374" s="1">
        <f t="shared" si="96"/>
        <v>0</v>
      </c>
      <c r="S374" s="1">
        <f t="shared" si="97"/>
        <v>0</v>
      </c>
      <c r="T374" s="1">
        <f t="shared" si="98"/>
        <v>0</v>
      </c>
      <c r="U374" s="1">
        <f t="shared" si="99"/>
        <v>0</v>
      </c>
      <c r="V374" s="1">
        <f t="shared" si="100"/>
        <v>0</v>
      </c>
      <c r="W374" s="1">
        <f t="shared" si="101"/>
        <v>0</v>
      </c>
      <c r="X374" s="1">
        <f t="shared" si="102"/>
        <v>0</v>
      </c>
      <c r="Y374" s="1">
        <f t="shared" si="103"/>
        <v>0</v>
      </c>
      <c r="Z374" s="1">
        <f t="shared" si="104"/>
        <v>0</v>
      </c>
      <c r="AA374" s="1">
        <f t="shared" si="105"/>
        <v>0</v>
      </c>
    </row>
    <row r="375" spans="12:27" x14ac:dyDescent="0.3">
      <c r="L375">
        <v>374</v>
      </c>
      <c r="M375" s="1">
        <f t="shared" si="91"/>
        <v>0</v>
      </c>
      <c r="N375" s="1">
        <f t="shared" si="92"/>
        <v>0</v>
      </c>
      <c r="O375" s="1">
        <f t="shared" si="93"/>
        <v>0</v>
      </c>
      <c r="P375" s="1">
        <f t="shared" si="94"/>
        <v>0</v>
      </c>
      <c r="Q375" s="1">
        <f t="shared" si="95"/>
        <v>0</v>
      </c>
      <c r="R375" s="1">
        <f t="shared" si="96"/>
        <v>0</v>
      </c>
      <c r="S375" s="1">
        <f t="shared" si="97"/>
        <v>0</v>
      </c>
      <c r="T375" s="1">
        <f t="shared" si="98"/>
        <v>0</v>
      </c>
      <c r="U375" s="1">
        <f t="shared" si="99"/>
        <v>0</v>
      </c>
      <c r="V375" s="1">
        <f t="shared" si="100"/>
        <v>0</v>
      </c>
      <c r="W375" s="1">
        <f t="shared" si="101"/>
        <v>0</v>
      </c>
      <c r="X375" s="1">
        <f t="shared" si="102"/>
        <v>0</v>
      </c>
      <c r="Y375" s="1">
        <f t="shared" si="103"/>
        <v>0</v>
      </c>
      <c r="Z375" s="1">
        <f t="shared" si="104"/>
        <v>0</v>
      </c>
      <c r="AA375" s="1">
        <f t="shared" si="105"/>
        <v>0</v>
      </c>
    </row>
    <row r="376" spans="12:27" x14ac:dyDescent="0.3">
      <c r="L376">
        <v>375</v>
      </c>
      <c r="M376" s="1">
        <f t="shared" si="91"/>
        <v>0</v>
      </c>
      <c r="N376" s="1">
        <f t="shared" si="92"/>
        <v>0</v>
      </c>
      <c r="O376" s="1">
        <f t="shared" si="93"/>
        <v>0</v>
      </c>
      <c r="P376" s="1">
        <f t="shared" si="94"/>
        <v>0</v>
      </c>
      <c r="Q376" s="1">
        <f t="shared" si="95"/>
        <v>0</v>
      </c>
      <c r="R376" s="1">
        <f t="shared" si="96"/>
        <v>0</v>
      </c>
      <c r="S376" s="1">
        <f t="shared" si="97"/>
        <v>0</v>
      </c>
      <c r="T376" s="1">
        <f t="shared" si="98"/>
        <v>0</v>
      </c>
      <c r="U376" s="1">
        <f t="shared" si="99"/>
        <v>0</v>
      </c>
      <c r="V376" s="1">
        <f t="shared" si="100"/>
        <v>0</v>
      </c>
      <c r="W376" s="1">
        <f t="shared" si="101"/>
        <v>0</v>
      </c>
      <c r="X376" s="1">
        <f t="shared" si="102"/>
        <v>0</v>
      </c>
      <c r="Y376" s="1">
        <f t="shared" si="103"/>
        <v>0</v>
      </c>
      <c r="Z376" s="1">
        <f t="shared" si="104"/>
        <v>0</v>
      </c>
      <c r="AA376" s="1">
        <f t="shared" si="105"/>
        <v>0</v>
      </c>
    </row>
    <row r="377" spans="12:27" x14ac:dyDescent="0.3">
      <c r="L377">
        <v>376</v>
      </c>
      <c r="M377" s="1">
        <f t="shared" si="91"/>
        <v>0</v>
      </c>
      <c r="N377" s="1">
        <f t="shared" si="92"/>
        <v>0</v>
      </c>
      <c r="O377" s="1">
        <f t="shared" si="93"/>
        <v>0</v>
      </c>
      <c r="P377" s="1">
        <f t="shared" si="94"/>
        <v>0</v>
      </c>
      <c r="Q377" s="1">
        <f t="shared" si="95"/>
        <v>0</v>
      </c>
      <c r="R377" s="1">
        <f t="shared" si="96"/>
        <v>0</v>
      </c>
      <c r="S377" s="1">
        <f t="shared" si="97"/>
        <v>0</v>
      </c>
      <c r="T377" s="1">
        <f t="shared" si="98"/>
        <v>0</v>
      </c>
      <c r="U377" s="1">
        <f t="shared" si="99"/>
        <v>0</v>
      </c>
      <c r="V377" s="1">
        <f t="shared" si="100"/>
        <v>0</v>
      </c>
      <c r="W377" s="1">
        <f t="shared" si="101"/>
        <v>0</v>
      </c>
      <c r="X377" s="1">
        <f t="shared" si="102"/>
        <v>0</v>
      </c>
      <c r="Y377" s="1">
        <f t="shared" si="103"/>
        <v>0</v>
      </c>
      <c r="Z377" s="1">
        <f t="shared" si="104"/>
        <v>0</v>
      </c>
      <c r="AA377" s="1">
        <f t="shared" si="105"/>
        <v>0</v>
      </c>
    </row>
    <row r="378" spans="12:27" x14ac:dyDescent="0.3">
      <c r="L378">
        <v>377</v>
      </c>
      <c r="M378" s="1">
        <f t="shared" si="91"/>
        <v>0</v>
      </c>
      <c r="N378" s="1">
        <f t="shared" si="92"/>
        <v>0</v>
      </c>
      <c r="O378" s="1">
        <f t="shared" si="93"/>
        <v>0</v>
      </c>
      <c r="P378" s="1">
        <f t="shared" si="94"/>
        <v>0</v>
      </c>
      <c r="Q378" s="1">
        <f t="shared" si="95"/>
        <v>0</v>
      </c>
      <c r="R378" s="1">
        <f t="shared" si="96"/>
        <v>0</v>
      </c>
      <c r="S378" s="1">
        <f t="shared" si="97"/>
        <v>0</v>
      </c>
      <c r="T378" s="1">
        <f t="shared" si="98"/>
        <v>0</v>
      </c>
      <c r="U378" s="1">
        <f t="shared" si="99"/>
        <v>0</v>
      </c>
      <c r="V378" s="1">
        <f t="shared" si="100"/>
        <v>0</v>
      </c>
      <c r="W378" s="1">
        <f t="shared" si="101"/>
        <v>0</v>
      </c>
      <c r="X378" s="1">
        <f t="shared" si="102"/>
        <v>0</v>
      </c>
      <c r="Y378" s="1">
        <f t="shared" si="103"/>
        <v>0</v>
      </c>
      <c r="Z378" s="1">
        <f t="shared" si="104"/>
        <v>0</v>
      </c>
      <c r="AA378" s="1">
        <f t="shared" si="105"/>
        <v>0</v>
      </c>
    </row>
    <row r="379" spans="12:27" x14ac:dyDescent="0.3">
      <c r="L379">
        <v>378</v>
      </c>
      <c r="M379" s="1">
        <f t="shared" si="91"/>
        <v>0</v>
      </c>
      <c r="N379" s="1">
        <f t="shared" si="92"/>
        <v>0</v>
      </c>
      <c r="O379" s="1">
        <f t="shared" si="93"/>
        <v>0</v>
      </c>
      <c r="P379" s="1">
        <f t="shared" si="94"/>
        <v>0</v>
      </c>
      <c r="Q379" s="1">
        <f t="shared" si="95"/>
        <v>0</v>
      </c>
      <c r="R379" s="1">
        <f t="shared" si="96"/>
        <v>0</v>
      </c>
      <c r="S379" s="1">
        <f t="shared" si="97"/>
        <v>0</v>
      </c>
      <c r="T379" s="1">
        <f t="shared" si="98"/>
        <v>0</v>
      </c>
      <c r="U379" s="1">
        <f t="shared" si="99"/>
        <v>0</v>
      </c>
      <c r="V379" s="1">
        <f t="shared" si="100"/>
        <v>0</v>
      </c>
      <c r="W379" s="1">
        <f t="shared" si="101"/>
        <v>0</v>
      </c>
      <c r="X379" s="1">
        <f t="shared" si="102"/>
        <v>0</v>
      </c>
      <c r="Y379" s="1">
        <f t="shared" si="103"/>
        <v>0</v>
      </c>
      <c r="Z379" s="1">
        <f t="shared" si="104"/>
        <v>0</v>
      </c>
      <c r="AA379" s="1">
        <f t="shared" si="105"/>
        <v>0</v>
      </c>
    </row>
    <row r="380" spans="12:27" x14ac:dyDescent="0.3">
      <c r="L380">
        <v>379</v>
      </c>
      <c r="M380" s="1">
        <f t="shared" si="91"/>
        <v>0</v>
      </c>
      <c r="N380" s="1">
        <f t="shared" si="92"/>
        <v>0</v>
      </c>
      <c r="O380" s="1">
        <f t="shared" si="93"/>
        <v>0</v>
      </c>
      <c r="P380" s="1">
        <f t="shared" si="94"/>
        <v>0</v>
      </c>
      <c r="Q380" s="1">
        <f t="shared" si="95"/>
        <v>0</v>
      </c>
      <c r="R380" s="1">
        <f t="shared" si="96"/>
        <v>0</v>
      </c>
      <c r="S380" s="1">
        <f t="shared" si="97"/>
        <v>0</v>
      </c>
      <c r="T380" s="1">
        <f t="shared" si="98"/>
        <v>0</v>
      </c>
      <c r="U380" s="1">
        <f t="shared" si="99"/>
        <v>0</v>
      </c>
      <c r="V380" s="1">
        <f t="shared" si="100"/>
        <v>0</v>
      </c>
      <c r="W380" s="1">
        <f t="shared" si="101"/>
        <v>0</v>
      </c>
      <c r="X380" s="1">
        <f t="shared" si="102"/>
        <v>0</v>
      </c>
      <c r="Y380" s="1">
        <f t="shared" si="103"/>
        <v>0</v>
      </c>
      <c r="Z380" s="1">
        <f t="shared" si="104"/>
        <v>0</v>
      </c>
      <c r="AA380" s="1">
        <f t="shared" si="105"/>
        <v>0</v>
      </c>
    </row>
    <row r="381" spans="12:27" x14ac:dyDescent="0.3">
      <c r="L381">
        <v>380</v>
      </c>
      <c r="M381" s="1">
        <f t="shared" si="91"/>
        <v>0</v>
      </c>
      <c r="N381" s="1">
        <f t="shared" si="92"/>
        <v>0</v>
      </c>
      <c r="O381" s="1">
        <f t="shared" si="93"/>
        <v>0</v>
      </c>
      <c r="P381" s="1">
        <f t="shared" si="94"/>
        <v>0</v>
      </c>
      <c r="Q381" s="1">
        <f t="shared" si="95"/>
        <v>0</v>
      </c>
      <c r="R381" s="1">
        <f t="shared" si="96"/>
        <v>0</v>
      </c>
      <c r="S381" s="1">
        <f t="shared" si="97"/>
        <v>0</v>
      </c>
      <c r="T381" s="1">
        <f t="shared" si="98"/>
        <v>0</v>
      </c>
      <c r="U381" s="1">
        <f t="shared" si="99"/>
        <v>0</v>
      </c>
      <c r="V381" s="1">
        <f t="shared" si="100"/>
        <v>0</v>
      </c>
      <c r="W381" s="1">
        <f t="shared" si="101"/>
        <v>0</v>
      </c>
      <c r="X381" s="1">
        <f t="shared" si="102"/>
        <v>0</v>
      </c>
      <c r="Y381" s="1">
        <f t="shared" si="103"/>
        <v>0</v>
      </c>
      <c r="Z381" s="1">
        <f t="shared" si="104"/>
        <v>0</v>
      </c>
      <c r="AA381" s="1">
        <f t="shared" si="105"/>
        <v>0</v>
      </c>
    </row>
    <row r="382" spans="12:27" x14ac:dyDescent="0.3">
      <c r="L382">
        <v>381</v>
      </c>
      <c r="M382" s="1">
        <f t="shared" si="91"/>
        <v>0</v>
      </c>
      <c r="N382" s="1">
        <f t="shared" si="92"/>
        <v>0</v>
      </c>
      <c r="O382" s="1">
        <f t="shared" si="93"/>
        <v>0</v>
      </c>
      <c r="P382" s="1">
        <f t="shared" si="94"/>
        <v>0</v>
      </c>
      <c r="Q382" s="1">
        <f t="shared" si="95"/>
        <v>0</v>
      </c>
      <c r="R382" s="1">
        <f t="shared" si="96"/>
        <v>0</v>
      </c>
      <c r="S382" s="1">
        <f t="shared" si="97"/>
        <v>0</v>
      </c>
      <c r="T382" s="1">
        <f t="shared" si="98"/>
        <v>0</v>
      </c>
      <c r="U382" s="1">
        <f t="shared" si="99"/>
        <v>0</v>
      </c>
      <c r="V382" s="1">
        <f t="shared" si="100"/>
        <v>0</v>
      </c>
      <c r="W382" s="1">
        <f t="shared" si="101"/>
        <v>0</v>
      </c>
      <c r="X382" s="1">
        <f t="shared" si="102"/>
        <v>0</v>
      </c>
      <c r="Y382" s="1">
        <f t="shared" si="103"/>
        <v>0</v>
      </c>
      <c r="Z382" s="1">
        <f t="shared" si="104"/>
        <v>0</v>
      </c>
      <c r="AA382" s="1">
        <f t="shared" si="105"/>
        <v>0</v>
      </c>
    </row>
    <row r="383" spans="12:27" x14ac:dyDescent="0.3">
      <c r="L383">
        <v>382</v>
      </c>
      <c r="M383" s="1">
        <f t="shared" si="91"/>
        <v>0</v>
      </c>
      <c r="N383" s="1">
        <f t="shared" si="92"/>
        <v>0</v>
      </c>
      <c r="O383" s="1">
        <f t="shared" si="93"/>
        <v>0</v>
      </c>
      <c r="P383" s="1">
        <f t="shared" si="94"/>
        <v>0</v>
      </c>
      <c r="Q383" s="1">
        <f t="shared" si="95"/>
        <v>0</v>
      </c>
      <c r="R383" s="1">
        <f t="shared" si="96"/>
        <v>0</v>
      </c>
      <c r="S383" s="1">
        <f t="shared" si="97"/>
        <v>0</v>
      </c>
      <c r="T383" s="1">
        <f t="shared" si="98"/>
        <v>0</v>
      </c>
      <c r="U383" s="1">
        <f t="shared" si="99"/>
        <v>0</v>
      </c>
      <c r="V383" s="1">
        <f t="shared" si="100"/>
        <v>0</v>
      </c>
      <c r="W383" s="1">
        <f t="shared" si="101"/>
        <v>0</v>
      </c>
      <c r="X383" s="1">
        <f t="shared" si="102"/>
        <v>0</v>
      </c>
      <c r="Y383" s="1">
        <f t="shared" si="103"/>
        <v>0</v>
      </c>
      <c r="Z383" s="1">
        <f t="shared" si="104"/>
        <v>0</v>
      </c>
      <c r="AA383" s="1">
        <f t="shared" si="105"/>
        <v>0</v>
      </c>
    </row>
    <row r="384" spans="12:27" x14ac:dyDescent="0.3">
      <c r="L384">
        <v>383</v>
      </c>
      <c r="M384" s="1">
        <f t="shared" si="91"/>
        <v>0</v>
      </c>
      <c r="N384" s="1">
        <f t="shared" si="92"/>
        <v>0</v>
      </c>
      <c r="O384" s="1">
        <f t="shared" si="93"/>
        <v>0</v>
      </c>
      <c r="P384" s="1">
        <f t="shared" si="94"/>
        <v>0</v>
      </c>
      <c r="Q384" s="1">
        <f t="shared" si="95"/>
        <v>0</v>
      </c>
      <c r="R384" s="1">
        <f t="shared" si="96"/>
        <v>0</v>
      </c>
      <c r="S384" s="1">
        <f t="shared" si="97"/>
        <v>0</v>
      </c>
      <c r="T384" s="1">
        <f t="shared" si="98"/>
        <v>0</v>
      </c>
      <c r="U384" s="1">
        <f t="shared" si="99"/>
        <v>0</v>
      </c>
      <c r="V384" s="1">
        <f t="shared" si="100"/>
        <v>0</v>
      </c>
      <c r="W384" s="1">
        <f t="shared" si="101"/>
        <v>0</v>
      </c>
      <c r="X384" s="1">
        <f t="shared" si="102"/>
        <v>0</v>
      </c>
      <c r="Y384" s="1">
        <f t="shared" si="103"/>
        <v>0</v>
      </c>
      <c r="Z384" s="1">
        <f t="shared" si="104"/>
        <v>0</v>
      </c>
      <c r="AA384" s="1">
        <f t="shared" si="105"/>
        <v>0</v>
      </c>
    </row>
    <row r="385" spans="12:27" x14ac:dyDescent="0.3">
      <c r="L385">
        <v>384</v>
      </c>
      <c r="M385" s="1">
        <f t="shared" si="91"/>
        <v>0</v>
      </c>
      <c r="N385" s="1">
        <f t="shared" si="92"/>
        <v>0</v>
      </c>
      <c r="O385" s="1">
        <f t="shared" si="93"/>
        <v>0</v>
      </c>
      <c r="P385" s="1">
        <f t="shared" si="94"/>
        <v>0</v>
      </c>
      <c r="Q385" s="1">
        <f t="shared" si="95"/>
        <v>0</v>
      </c>
      <c r="R385" s="1">
        <f t="shared" si="96"/>
        <v>0</v>
      </c>
      <c r="S385" s="1">
        <f t="shared" si="97"/>
        <v>0</v>
      </c>
      <c r="T385" s="1">
        <f t="shared" si="98"/>
        <v>0</v>
      </c>
      <c r="U385" s="1">
        <f t="shared" si="99"/>
        <v>0</v>
      </c>
      <c r="V385" s="1">
        <f t="shared" si="100"/>
        <v>0</v>
      </c>
      <c r="W385" s="1">
        <f t="shared" si="101"/>
        <v>0</v>
      </c>
      <c r="X385" s="1">
        <f t="shared" si="102"/>
        <v>0</v>
      </c>
      <c r="Y385" s="1">
        <f t="shared" si="103"/>
        <v>0</v>
      </c>
      <c r="Z385" s="1">
        <f t="shared" si="104"/>
        <v>0</v>
      </c>
      <c r="AA385" s="1">
        <f t="shared" si="105"/>
        <v>0</v>
      </c>
    </row>
    <row r="386" spans="12:27" x14ac:dyDescent="0.3">
      <c r="L386">
        <v>385</v>
      </c>
      <c r="M386" s="1">
        <f t="shared" si="91"/>
        <v>0</v>
      </c>
      <c r="N386" s="1">
        <f t="shared" si="92"/>
        <v>0</v>
      </c>
      <c r="O386" s="1">
        <f t="shared" si="93"/>
        <v>0</v>
      </c>
      <c r="P386" s="1">
        <f t="shared" si="94"/>
        <v>0</v>
      </c>
      <c r="Q386" s="1">
        <f t="shared" si="95"/>
        <v>0</v>
      </c>
      <c r="R386" s="1">
        <f t="shared" si="96"/>
        <v>0</v>
      </c>
      <c r="S386" s="1">
        <f t="shared" si="97"/>
        <v>0</v>
      </c>
      <c r="T386" s="1">
        <f t="shared" si="98"/>
        <v>0</v>
      </c>
      <c r="U386" s="1">
        <f t="shared" si="99"/>
        <v>0</v>
      </c>
      <c r="V386" s="1">
        <f t="shared" si="100"/>
        <v>0</v>
      </c>
      <c r="W386" s="1">
        <f t="shared" si="101"/>
        <v>0</v>
      </c>
      <c r="X386" s="1">
        <f t="shared" si="102"/>
        <v>0</v>
      </c>
      <c r="Y386" s="1">
        <f t="shared" si="103"/>
        <v>0</v>
      </c>
      <c r="Z386" s="1">
        <f t="shared" si="104"/>
        <v>0</v>
      </c>
      <c r="AA386" s="1">
        <f t="shared" si="105"/>
        <v>0</v>
      </c>
    </row>
    <row r="387" spans="12:27" x14ac:dyDescent="0.3">
      <c r="L387">
        <v>386</v>
      </c>
      <c r="M387" s="1">
        <f t="shared" si="91"/>
        <v>0</v>
      </c>
      <c r="N387" s="1">
        <f t="shared" si="92"/>
        <v>0</v>
      </c>
      <c r="O387" s="1">
        <f t="shared" si="93"/>
        <v>0</v>
      </c>
      <c r="P387" s="1">
        <f t="shared" si="94"/>
        <v>0</v>
      </c>
      <c r="Q387" s="1">
        <f t="shared" si="95"/>
        <v>0</v>
      </c>
      <c r="R387" s="1">
        <f t="shared" si="96"/>
        <v>0</v>
      </c>
      <c r="S387" s="1">
        <f t="shared" si="97"/>
        <v>0</v>
      </c>
      <c r="T387" s="1">
        <f t="shared" si="98"/>
        <v>0</v>
      </c>
      <c r="U387" s="1">
        <f t="shared" si="99"/>
        <v>0</v>
      </c>
      <c r="V387" s="1">
        <f t="shared" si="100"/>
        <v>0</v>
      </c>
      <c r="W387" s="1">
        <f t="shared" si="101"/>
        <v>0</v>
      </c>
      <c r="X387" s="1">
        <f t="shared" si="102"/>
        <v>0</v>
      </c>
      <c r="Y387" s="1">
        <f t="shared" si="103"/>
        <v>0</v>
      </c>
      <c r="Z387" s="1">
        <f t="shared" si="104"/>
        <v>0</v>
      </c>
      <c r="AA387" s="1">
        <f t="shared" si="105"/>
        <v>0</v>
      </c>
    </row>
    <row r="388" spans="12:27" x14ac:dyDescent="0.3">
      <c r="L388">
        <v>387</v>
      </c>
      <c r="M388" s="1">
        <f t="shared" si="91"/>
        <v>0</v>
      </c>
      <c r="N388" s="1">
        <f t="shared" si="92"/>
        <v>0</v>
      </c>
      <c r="O388" s="1">
        <f t="shared" si="93"/>
        <v>0</v>
      </c>
      <c r="P388" s="1">
        <f t="shared" si="94"/>
        <v>0</v>
      </c>
      <c r="Q388" s="1">
        <f t="shared" si="95"/>
        <v>0</v>
      </c>
      <c r="R388" s="1">
        <f t="shared" si="96"/>
        <v>0</v>
      </c>
      <c r="S388" s="1">
        <f t="shared" si="97"/>
        <v>0</v>
      </c>
      <c r="T388" s="1">
        <f t="shared" si="98"/>
        <v>0</v>
      </c>
      <c r="U388" s="1">
        <f t="shared" si="99"/>
        <v>0</v>
      </c>
      <c r="V388" s="1">
        <f t="shared" si="100"/>
        <v>0</v>
      </c>
      <c r="W388" s="1">
        <f t="shared" si="101"/>
        <v>0</v>
      </c>
      <c r="X388" s="1">
        <f t="shared" si="102"/>
        <v>0</v>
      </c>
      <c r="Y388" s="1">
        <f t="shared" si="103"/>
        <v>0</v>
      </c>
      <c r="Z388" s="1">
        <f t="shared" si="104"/>
        <v>0</v>
      </c>
      <c r="AA388" s="1">
        <f t="shared" si="105"/>
        <v>0</v>
      </c>
    </row>
    <row r="389" spans="12:27" x14ac:dyDescent="0.3">
      <c r="L389">
        <v>388</v>
      </c>
      <c r="M389" s="1">
        <f t="shared" si="91"/>
        <v>0</v>
      </c>
      <c r="N389" s="1">
        <f t="shared" si="92"/>
        <v>0</v>
      </c>
      <c r="O389" s="1">
        <f t="shared" si="93"/>
        <v>0</v>
      </c>
      <c r="P389" s="1">
        <f t="shared" si="94"/>
        <v>0</v>
      </c>
      <c r="Q389" s="1">
        <f t="shared" si="95"/>
        <v>0</v>
      </c>
      <c r="R389" s="1">
        <f t="shared" si="96"/>
        <v>0</v>
      </c>
      <c r="S389" s="1">
        <f t="shared" si="97"/>
        <v>0</v>
      </c>
      <c r="T389" s="1">
        <f t="shared" si="98"/>
        <v>0</v>
      </c>
      <c r="U389" s="1">
        <f t="shared" si="99"/>
        <v>0</v>
      </c>
      <c r="V389" s="1">
        <f t="shared" si="100"/>
        <v>0</v>
      </c>
      <c r="W389" s="1">
        <f t="shared" si="101"/>
        <v>0</v>
      </c>
      <c r="X389" s="1">
        <f t="shared" si="102"/>
        <v>0</v>
      </c>
      <c r="Y389" s="1">
        <f t="shared" si="103"/>
        <v>0</v>
      </c>
      <c r="Z389" s="1">
        <f t="shared" si="104"/>
        <v>0</v>
      </c>
      <c r="AA389" s="1">
        <f t="shared" si="105"/>
        <v>0</v>
      </c>
    </row>
    <row r="390" spans="12:27" x14ac:dyDescent="0.3">
      <c r="L390">
        <v>389</v>
      </c>
      <c r="M390" s="1">
        <f t="shared" si="91"/>
        <v>0</v>
      </c>
      <c r="N390" s="1">
        <f t="shared" si="92"/>
        <v>0</v>
      </c>
      <c r="O390" s="1">
        <f t="shared" si="93"/>
        <v>0</v>
      </c>
      <c r="P390" s="1">
        <f t="shared" si="94"/>
        <v>0</v>
      </c>
      <c r="Q390" s="1">
        <f t="shared" si="95"/>
        <v>0</v>
      </c>
      <c r="R390" s="1">
        <f t="shared" si="96"/>
        <v>0</v>
      </c>
      <c r="S390" s="1">
        <f t="shared" si="97"/>
        <v>0</v>
      </c>
      <c r="T390" s="1">
        <f t="shared" si="98"/>
        <v>0</v>
      </c>
      <c r="U390" s="1">
        <f t="shared" si="99"/>
        <v>0</v>
      </c>
      <c r="V390" s="1">
        <f t="shared" si="100"/>
        <v>0</v>
      </c>
      <c r="W390" s="1">
        <f t="shared" si="101"/>
        <v>0</v>
      </c>
      <c r="X390" s="1">
        <f t="shared" si="102"/>
        <v>0</v>
      </c>
      <c r="Y390" s="1">
        <f t="shared" si="103"/>
        <v>0</v>
      </c>
      <c r="Z390" s="1">
        <f t="shared" si="104"/>
        <v>0</v>
      </c>
      <c r="AA390" s="1">
        <f t="shared" si="105"/>
        <v>0</v>
      </c>
    </row>
    <row r="391" spans="12:27" x14ac:dyDescent="0.3">
      <c r="L391">
        <v>390</v>
      </c>
      <c r="M391" s="1">
        <f t="shared" si="91"/>
        <v>0</v>
      </c>
      <c r="N391" s="1">
        <f t="shared" si="92"/>
        <v>0</v>
      </c>
      <c r="O391" s="1">
        <f t="shared" si="93"/>
        <v>0</v>
      </c>
      <c r="P391" s="1">
        <f t="shared" si="94"/>
        <v>0</v>
      </c>
      <c r="Q391" s="1">
        <f t="shared" si="95"/>
        <v>0</v>
      </c>
      <c r="R391" s="1">
        <f t="shared" si="96"/>
        <v>0</v>
      </c>
      <c r="S391" s="1">
        <f t="shared" si="97"/>
        <v>0</v>
      </c>
      <c r="T391" s="1">
        <f t="shared" si="98"/>
        <v>0</v>
      </c>
      <c r="U391" s="1">
        <f t="shared" si="99"/>
        <v>0</v>
      </c>
      <c r="V391" s="1">
        <f t="shared" si="100"/>
        <v>0</v>
      </c>
      <c r="W391" s="1">
        <f t="shared" si="101"/>
        <v>0</v>
      </c>
      <c r="X391" s="1">
        <f t="shared" si="102"/>
        <v>0</v>
      </c>
      <c r="Y391" s="1">
        <f t="shared" si="103"/>
        <v>0</v>
      </c>
      <c r="Z391" s="1">
        <f t="shared" si="104"/>
        <v>0</v>
      </c>
      <c r="AA391" s="1">
        <f t="shared" si="105"/>
        <v>0</v>
      </c>
    </row>
    <row r="392" spans="12:27" x14ac:dyDescent="0.3">
      <c r="L392">
        <v>391</v>
      </c>
      <c r="M392" s="1">
        <f t="shared" si="91"/>
        <v>0</v>
      </c>
      <c r="N392" s="1">
        <f t="shared" si="92"/>
        <v>0</v>
      </c>
      <c r="O392" s="1">
        <f t="shared" si="93"/>
        <v>0</v>
      </c>
      <c r="P392" s="1">
        <f t="shared" si="94"/>
        <v>0</v>
      </c>
      <c r="Q392" s="1">
        <f t="shared" si="95"/>
        <v>0</v>
      </c>
      <c r="R392" s="1">
        <f t="shared" si="96"/>
        <v>0</v>
      </c>
      <c r="S392" s="1">
        <f t="shared" si="97"/>
        <v>0</v>
      </c>
      <c r="T392" s="1">
        <f t="shared" si="98"/>
        <v>0</v>
      </c>
      <c r="U392" s="1">
        <f t="shared" si="99"/>
        <v>0</v>
      </c>
      <c r="V392" s="1">
        <f t="shared" si="100"/>
        <v>0</v>
      </c>
      <c r="W392" s="1">
        <f t="shared" si="101"/>
        <v>0</v>
      </c>
      <c r="X392" s="1">
        <f t="shared" si="102"/>
        <v>0</v>
      </c>
      <c r="Y392" s="1">
        <f t="shared" si="103"/>
        <v>0</v>
      </c>
      <c r="Z392" s="1">
        <f t="shared" si="104"/>
        <v>0</v>
      </c>
      <c r="AA392" s="1">
        <f t="shared" si="105"/>
        <v>0</v>
      </c>
    </row>
    <row r="393" spans="12:27" x14ac:dyDescent="0.3">
      <c r="L393">
        <v>392</v>
      </c>
      <c r="M393" s="1">
        <f t="shared" si="91"/>
        <v>0</v>
      </c>
      <c r="N393" s="1">
        <f t="shared" si="92"/>
        <v>0</v>
      </c>
      <c r="O393" s="1">
        <f t="shared" si="93"/>
        <v>0</v>
      </c>
      <c r="P393" s="1">
        <f t="shared" si="94"/>
        <v>0</v>
      </c>
      <c r="Q393" s="1">
        <f t="shared" si="95"/>
        <v>0</v>
      </c>
      <c r="R393" s="1">
        <f t="shared" si="96"/>
        <v>0</v>
      </c>
      <c r="S393" s="1">
        <f t="shared" si="97"/>
        <v>0</v>
      </c>
      <c r="T393" s="1">
        <f t="shared" si="98"/>
        <v>0</v>
      </c>
      <c r="U393" s="1">
        <f t="shared" si="99"/>
        <v>0</v>
      </c>
      <c r="V393" s="1">
        <f t="shared" si="100"/>
        <v>0</v>
      </c>
      <c r="W393" s="1">
        <f t="shared" si="101"/>
        <v>0</v>
      </c>
      <c r="X393" s="1">
        <f t="shared" si="102"/>
        <v>0</v>
      </c>
      <c r="Y393" s="1">
        <f t="shared" si="103"/>
        <v>0</v>
      </c>
      <c r="Z393" s="1">
        <f t="shared" si="104"/>
        <v>0</v>
      </c>
      <c r="AA393" s="1">
        <f t="shared" si="105"/>
        <v>0</v>
      </c>
    </row>
    <row r="394" spans="12:27" x14ac:dyDescent="0.3">
      <c r="L394">
        <v>393</v>
      </c>
      <c r="M394" s="1">
        <f t="shared" si="91"/>
        <v>0</v>
      </c>
      <c r="N394" s="1">
        <f t="shared" si="92"/>
        <v>0</v>
      </c>
      <c r="O394" s="1">
        <f t="shared" si="93"/>
        <v>0</v>
      </c>
      <c r="P394" s="1">
        <f t="shared" si="94"/>
        <v>0</v>
      </c>
      <c r="Q394" s="1">
        <f t="shared" si="95"/>
        <v>0</v>
      </c>
      <c r="R394" s="1">
        <f t="shared" si="96"/>
        <v>0</v>
      </c>
      <c r="S394" s="1">
        <f t="shared" si="97"/>
        <v>0</v>
      </c>
      <c r="T394" s="1">
        <f t="shared" si="98"/>
        <v>0</v>
      </c>
      <c r="U394" s="1">
        <f t="shared" si="99"/>
        <v>0</v>
      </c>
      <c r="V394" s="1">
        <f t="shared" si="100"/>
        <v>0</v>
      </c>
      <c r="W394" s="1">
        <f t="shared" si="101"/>
        <v>0</v>
      </c>
      <c r="X394" s="1">
        <f t="shared" si="102"/>
        <v>0</v>
      </c>
      <c r="Y394" s="1">
        <f t="shared" si="103"/>
        <v>0</v>
      </c>
      <c r="Z394" s="1">
        <f t="shared" si="104"/>
        <v>0</v>
      </c>
      <c r="AA394" s="1">
        <f t="shared" si="105"/>
        <v>0</v>
      </c>
    </row>
    <row r="395" spans="12:27" x14ac:dyDescent="0.3">
      <c r="L395">
        <v>394</v>
      </c>
      <c r="M395" s="1">
        <f t="shared" si="91"/>
        <v>0</v>
      </c>
      <c r="N395" s="1">
        <f t="shared" si="92"/>
        <v>0</v>
      </c>
      <c r="O395" s="1">
        <f t="shared" si="93"/>
        <v>0</v>
      </c>
      <c r="P395" s="1">
        <f t="shared" si="94"/>
        <v>0</v>
      </c>
      <c r="Q395" s="1">
        <f t="shared" si="95"/>
        <v>0</v>
      </c>
      <c r="R395" s="1">
        <f t="shared" si="96"/>
        <v>0</v>
      </c>
      <c r="S395" s="1">
        <f t="shared" si="97"/>
        <v>0</v>
      </c>
      <c r="T395" s="1">
        <f t="shared" si="98"/>
        <v>0</v>
      </c>
      <c r="U395" s="1">
        <f t="shared" si="99"/>
        <v>0</v>
      </c>
      <c r="V395" s="1">
        <f t="shared" si="100"/>
        <v>0</v>
      </c>
      <c r="W395" s="1">
        <f t="shared" si="101"/>
        <v>0</v>
      </c>
      <c r="X395" s="1">
        <f t="shared" si="102"/>
        <v>0</v>
      </c>
      <c r="Y395" s="1">
        <f t="shared" si="103"/>
        <v>0</v>
      </c>
      <c r="Z395" s="1">
        <f t="shared" si="104"/>
        <v>0</v>
      </c>
      <c r="AA395" s="1">
        <f t="shared" si="105"/>
        <v>0</v>
      </c>
    </row>
    <row r="396" spans="12:27" x14ac:dyDescent="0.3">
      <c r="L396">
        <v>395</v>
      </c>
      <c r="M396" s="1">
        <f t="shared" si="91"/>
        <v>0</v>
      </c>
      <c r="N396" s="1">
        <f t="shared" si="92"/>
        <v>0</v>
      </c>
      <c r="O396" s="1">
        <f t="shared" si="93"/>
        <v>0</v>
      </c>
      <c r="P396" s="1">
        <f t="shared" si="94"/>
        <v>0</v>
      </c>
      <c r="Q396" s="1">
        <f t="shared" si="95"/>
        <v>0</v>
      </c>
      <c r="R396" s="1">
        <f t="shared" si="96"/>
        <v>0</v>
      </c>
      <c r="S396" s="1">
        <f t="shared" si="97"/>
        <v>0</v>
      </c>
      <c r="T396" s="1">
        <f t="shared" si="98"/>
        <v>0</v>
      </c>
      <c r="U396" s="1">
        <f t="shared" si="99"/>
        <v>0</v>
      </c>
      <c r="V396" s="1">
        <f t="shared" si="100"/>
        <v>0</v>
      </c>
      <c r="W396" s="1">
        <f t="shared" si="101"/>
        <v>0</v>
      </c>
      <c r="X396" s="1">
        <f t="shared" si="102"/>
        <v>0</v>
      </c>
      <c r="Y396" s="1">
        <f t="shared" si="103"/>
        <v>0</v>
      </c>
      <c r="Z396" s="1">
        <f t="shared" si="104"/>
        <v>0</v>
      </c>
      <c r="AA396" s="1">
        <f t="shared" si="105"/>
        <v>0</v>
      </c>
    </row>
    <row r="397" spans="12:27" x14ac:dyDescent="0.3">
      <c r="L397">
        <v>396</v>
      </c>
      <c r="M397" s="1">
        <f t="shared" si="91"/>
        <v>0</v>
      </c>
      <c r="N397" s="1">
        <f t="shared" si="92"/>
        <v>0</v>
      </c>
      <c r="O397" s="1">
        <f t="shared" si="93"/>
        <v>0</v>
      </c>
      <c r="P397" s="1">
        <f t="shared" si="94"/>
        <v>0</v>
      </c>
      <c r="Q397" s="1">
        <f t="shared" si="95"/>
        <v>0</v>
      </c>
      <c r="R397" s="1">
        <f t="shared" si="96"/>
        <v>0</v>
      </c>
      <c r="S397" s="1">
        <f t="shared" si="97"/>
        <v>0</v>
      </c>
      <c r="T397" s="1">
        <f t="shared" si="98"/>
        <v>0</v>
      </c>
      <c r="U397" s="1">
        <f t="shared" si="99"/>
        <v>0</v>
      </c>
      <c r="V397" s="1">
        <f t="shared" si="100"/>
        <v>0</v>
      </c>
      <c r="W397" s="1">
        <f t="shared" si="101"/>
        <v>0</v>
      </c>
      <c r="X397" s="1">
        <f t="shared" si="102"/>
        <v>0</v>
      </c>
      <c r="Y397" s="1">
        <f t="shared" si="103"/>
        <v>0</v>
      </c>
      <c r="Z397" s="1">
        <f t="shared" si="104"/>
        <v>0</v>
      </c>
      <c r="AA397" s="1">
        <f t="shared" si="105"/>
        <v>0</v>
      </c>
    </row>
    <row r="398" spans="12:27" x14ac:dyDescent="0.3">
      <c r="L398">
        <v>397</v>
      </c>
      <c r="M398" s="1">
        <f t="shared" si="91"/>
        <v>0</v>
      </c>
      <c r="N398" s="1">
        <f t="shared" si="92"/>
        <v>0</v>
      </c>
      <c r="O398" s="1">
        <f t="shared" si="93"/>
        <v>0</v>
      </c>
      <c r="P398" s="1">
        <f t="shared" si="94"/>
        <v>0</v>
      </c>
      <c r="Q398" s="1">
        <f t="shared" si="95"/>
        <v>0</v>
      </c>
      <c r="R398" s="1">
        <f t="shared" si="96"/>
        <v>0</v>
      </c>
      <c r="S398" s="1">
        <f t="shared" si="97"/>
        <v>0</v>
      </c>
      <c r="T398" s="1">
        <f t="shared" si="98"/>
        <v>0</v>
      </c>
      <c r="U398" s="1">
        <f t="shared" si="99"/>
        <v>0</v>
      </c>
      <c r="V398" s="1">
        <f t="shared" si="100"/>
        <v>0</v>
      </c>
      <c r="W398" s="1">
        <f t="shared" si="101"/>
        <v>0</v>
      </c>
      <c r="X398" s="1">
        <f t="shared" si="102"/>
        <v>0</v>
      </c>
      <c r="Y398" s="1">
        <f t="shared" si="103"/>
        <v>0</v>
      </c>
      <c r="Z398" s="1">
        <f t="shared" si="104"/>
        <v>0</v>
      </c>
      <c r="AA398" s="1">
        <f t="shared" si="105"/>
        <v>0</v>
      </c>
    </row>
    <row r="399" spans="12:27" x14ac:dyDescent="0.3">
      <c r="L399">
        <v>398</v>
      </c>
      <c r="M399" s="1">
        <f t="shared" ref="M399:M430" si="106">IF(OR(kcjd&lt;jdplant1,kcjd&gt;jdplant1+C$21),0,kc.ini.1)</f>
        <v>0</v>
      </c>
      <c r="N399" s="1">
        <f t="shared" ref="N399:N430" si="107">IF(OR(kcjd&lt;jdplant1+C$21,kcjd&gt;jdplant1+SUM(C$21,D$21)),0,+H$21+(kcjd-(jdplant1+C$21))/(jdplant1+SUM(C$21,D$21)-(jdplant1+C$21))*(I$21-H$21))</f>
        <v>0</v>
      </c>
      <c r="O399" s="1">
        <f t="shared" ref="O399:O430" si="108">IF(OR(kcjd&lt;jdplant1+SUM(C$21,D$21),kcjd&gt;jdplant1+SUM(C$21,D$21,E$21)),0,kc.mid.1)</f>
        <v>0</v>
      </c>
      <c r="P399" s="1">
        <f t="shared" ref="P399:P430" si="109">IF(OR(kcjd&lt;jdplant1+SUM(C$21:E$21),kcjd&gt;jdplant1+G$21),0,+I$21-(kcjd-(jdplant1+SUM(C$21:E$21)))/((jdplant1+G$21)-(jdplant1+SUM(C$21:E$21)))*(I$21-J$21))</f>
        <v>0</v>
      </c>
      <c r="Q399" s="1">
        <f t="shared" si="95"/>
        <v>0</v>
      </c>
      <c r="R399" s="1">
        <f t="shared" ref="R399:R430" si="110">IF(OR(kcjd&lt;jdplant2,kcjd&gt;jdplant2+$C$22),0,kc.ini.2)</f>
        <v>0</v>
      </c>
      <c r="S399" s="1">
        <f t="shared" ref="S399:S430" si="111">IF(OR(kcjd&lt;jdplant2+$C$22,kcjd&gt;jdplant2+SUM($C$22,$D$22)),0,+kc.ini.2+(kcjd-(jdplant2+$C$22))/(jdplant2+SUM($C$22,$D$22)-(jdplant2+$C$22))*(kc.mid.2-kc.ini.2))</f>
        <v>0</v>
      </c>
      <c r="T399" s="1">
        <f t="shared" ref="T399:T430" si="112">IF(OR(kcjd&lt;jdplant2+SUM($C$22,$D$22),kcjd&gt;jdplant2+SUM($C$22,$D$22,$E$22)),0,kc.mid.2)</f>
        <v>0</v>
      </c>
      <c r="U399" s="1">
        <f t="shared" ref="U399:U430" si="113">IF(OR(kcjd&lt;jdplant2+SUM($C$22:$E$22),kcjd&gt;jdplant2+$G$22),0,+kc.mid.2-(kcjd-(jdplant2+SUM($C$22:$E$22)))/((jdplant2+$G$22)-(jdplant2+SUM($C$22:$E$22)))*(kc.mid.2-kc.late.2))</f>
        <v>0</v>
      </c>
      <c r="V399" s="1">
        <f t="shared" si="100"/>
        <v>0</v>
      </c>
      <c r="W399" s="1">
        <f t="shared" ref="W399:W430" si="114">IF(OR(kcjd&lt;jdplant3,kcjd&gt;jdplant3+$C$23),0,kc.ini.3)</f>
        <v>0</v>
      </c>
      <c r="X399" s="1">
        <f t="shared" ref="X399:X430" si="115">IF(OR(kcjd&lt;jdplant3+$C$23,kcjd&gt;jdplant3+SUM($C$23,$D$23)),0,+kc.ini.3+(kcjd-(jdplant3+$C$23))/(jdplant3+SUM($C$23,$D$23)-(jdplant3+$C$23))*(kc.mid.3-kc.ini.3))</f>
        <v>0</v>
      </c>
      <c r="Y399" s="1">
        <f t="shared" ref="Y399:Y430" si="116">IF(OR(kcjd&lt;jdplant3+SUM($C$23,$D$23),kcjd&gt;jdplant3+SUM($C$23,$D$23,$E$23)),0,kc.mid.3)</f>
        <v>0</v>
      </c>
      <c r="Z399" s="1">
        <f t="shared" ref="Z399:Z430" si="117">IF(OR(kcjd&lt;jdplant3+SUM($C$23:$E$23),kcjd&gt;jdplant3+$G$23),0,+kc.mid.3-(kcjd-(jdplant3+SUM($C$23:$E$23)))/((jdplant3+$G$23)-(jdplant3+SUM($C$23:$E$23)))*(kc.mid.3-kc.late.3))</f>
        <v>0</v>
      </c>
      <c r="AA399" s="1">
        <f t="shared" si="105"/>
        <v>0</v>
      </c>
    </row>
    <row r="400" spans="12:27" x14ac:dyDescent="0.3">
      <c r="L400">
        <v>399</v>
      </c>
      <c r="M400" s="1">
        <f t="shared" si="106"/>
        <v>0</v>
      </c>
      <c r="N400" s="1">
        <f t="shared" si="107"/>
        <v>0</v>
      </c>
      <c r="O400" s="1">
        <f t="shared" si="108"/>
        <v>0</v>
      </c>
      <c r="P400" s="1">
        <f t="shared" si="109"/>
        <v>0</v>
      </c>
      <c r="Q400" s="1">
        <f t="shared" si="95"/>
        <v>0</v>
      </c>
      <c r="R400" s="1">
        <f t="shared" si="110"/>
        <v>0</v>
      </c>
      <c r="S400" s="1">
        <f t="shared" si="111"/>
        <v>0</v>
      </c>
      <c r="T400" s="1">
        <f t="shared" si="112"/>
        <v>0</v>
      </c>
      <c r="U400" s="1">
        <f t="shared" si="113"/>
        <v>0</v>
      </c>
      <c r="V400" s="1">
        <f t="shared" si="100"/>
        <v>0</v>
      </c>
      <c r="W400" s="1">
        <f t="shared" si="114"/>
        <v>0</v>
      </c>
      <c r="X400" s="1">
        <f t="shared" si="115"/>
        <v>0</v>
      </c>
      <c r="Y400" s="1">
        <f t="shared" si="116"/>
        <v>0</v>
      </c>
      <c r="Z400" s="1">
        <f t="shared" si="117"/>
        <v>0</v>
      </c>
      <c r="AA400" s="1">
        <f t="shared" si="105"/>
        <v>0</v>
      </c>
    </row>
    <row r="401" spans="12:27" x14ac:dyDescent="0.3">
      <c r="L401">
        <v>400</v>
      </c>
      <c r="M401" s="1">
        <f t="shared" si="106"/>
        <v>0</v>
      </c>
      <c r="N401" s="1">
        <f t="shared" si="107"/>
        <v>0</v>
      </c>
      <c r="O401" s="1">
        <f t="shared" si="108"/>
        <v>0</v>
      </c>
      <c r="P401" s="1">
        <f t="shared" si="109"/>
        <v>0</v>
      </c>
      <c r="Q401" s="1">
        <f t="shared" si="95"/>
        <v>0</v>
      </c>
      <c r="R401" s="1">
        <f t="shared" si="110"/>
        <v>0</v>
      </c>
      <c r="S401" s="1">
        <f t="shared" si="111"/>
        <v>0</v>
      </c>
      <c r="T401" s="1">
        <f t="shared" si="112"/>
        <v>0</v>
      </c>
      <c r="U401" s="1">
        <f t="shared" si="113"/>
        <v>0</v>
      </c>
      <c r="V401" s="1">
        <f t="shared" si="100"/>
        <v>0</v>
      </c>
      <c r="W401" s="1">
        <f t="shared" si="114"/>
        <v>0</v>
      </c>
      <c r="X401" s="1">
        <f t="shared" si="115"/>
        <v>0</v>
      </c>
      <c r="Y401" s="1">
        <f t="shared" si="116"/>
        <v>0</v>
      </c>
      <c r="Z401" s="1">
        <f t="shared" si="117"/>
        <v>0</v>
      </c>
      <c r="AA401" s="1">
        <f t="shared" si="105"/>
        <v>0</v>
      </c>
    </row>
    <row r="402" spans="12:27" x14ac:dyDescent="0.3">
      <c r="L402">
        <v>401</v>
      </c>
      <c r="M402" s="1">
        <f t="shared" si="106"/>
        <v>0</v>
      </c>
      <c r="N402" s="1">
        <f t="shared" si="107"/>
        <v>0</v>
      </c>
      <c r="O402" s="1">
        <f t="shared" si="108"/>
        <v>0</v>
      </c>
      <c r="P402" s="1">
        <f t="shared" si="109"/>
        <v>0</v>
      </c>
      <c r="Q402" s="1">
        <f t="shared" si="95"/>
        <v>0</v>
      </c>
      <c r="R402" s="1">
        <f t="shared" si="110"/>
        <v>0</v>
      </c>
      <c r="S402" s="1">
        <f t="shared" si="111"/>
        <v>0</v>
      </c>
      <c r="T402" s="1">
        <f t="shared" si="112"/>
        <v>0</v>
      </c>
      <c r="U402" s="1">
        <f t="shared" si="113"/>
        <v>0</v>
      </c>
      <c r="V402" s="1">
        <f t="shared" si="100"/>
        <v>0</v>
      </c>
      <c r="W402" s="1">
        <f t="shared" si="114"/>
        <v>0</v>
      </c>
      <c r="X402" s="1">
        <f t="shared" si="115"/>
        <v>0</v>
      </c>
      <c r="Y402" s="1">
        <f t="shared" si="116"/>
        <v>0</v>
      </c>
      <c r="Z402" s="1">
        <f t="shared" si="117"/>
        <v>0</v>
      </c>
      <c r="AA402" s="1">
        <f t="shared" si="105"/>
        <v>0</v>
      </c>
    </row>
    <row r="403" spans="12:27" x14ac:dyDescent="0.3">
      <c r="L403">
        <v>402</v>
      </c>
      <c r="M403" s="1">
        <f t="shared" si="106"/>
        <v>0</v>
      </c>
      <c r="N403" s="1">
        <f t="shared" si="107"/>
        <v>0</v>
      </c>
      <c r="O403" s="1">
        <f t="shared" si="108"/>
        <v>0</v>
      </c>
      <c r="P403" s="1">
        <f t="shared" si="109"/>
        <v>0</v>
      </c>
      <c r="Q403" s="1">
        <f t="shared" si="95"/>
        <v>0</v>
      </c>
      <c r="R403" s="1">
        <f t="shared" si="110"/>
        <v>0</v>
      </c>
      <c r="S403" s="1">
        <f t="shared" si="111"/>
        <v>0</v>
      </c>
      <c r="T403" s="1">
        <f t="shared" si="112"/>
        <v>0</v>
      </c>
      <c r="U403" s="1">
        <f t="shared" si="113"/>
        <v>0</v>
      </c>
      <c r="V403" s="1">
        <f t="shared" si="100"/>
        <v>0</v>
      </c>
      <c r="W403" s="1">
        <f t="shared" si="114"/>
        <v>0</v>
      </c>
      <c r="X403" s="1">
        <f t="shared" si="115"/>
        <v>0</v>
      </c>
      <c r="Y403" s="1">
        <f t="shared" si="116"/>
        <v>0</v>
      </c>
      <c r="Z403" s="1">
        <f t="shared" si="117"/>
        <v>0</v>
      </c>
      <c r="AA403" s="1">
        <f t="shared" si="105"/>
        <v>0</v>
      </c>
    </row>
    <row r="404" spans="12:27" x14ac:dyDescent="0.3">
      <c r="L404">
        <v>403</v>
      </c>
      <c r="M404" s="1">
        <f t="shared" si="106"/>
        <v>0</v>
      </c>
      <c r="N404" s="1">
        <f t="shared" si="107"/>
        <v>0</v>
      </c>
      <c r="O404" s="1">
        <f t="shared" si="108"/>
        <v>0</v>
      </c>
      <c r="P404" s="1">
        <f t="shared" si="109"/>
        <v>0</v>
      </c>
      <c r="Q404" s="1">
        <f t="shared" si="95"/>
        <v>0</v>
      </c>
      <c r="R404" s="1">
        <f t="shared" si="110"/>
        <v>0</v>
      </c>
      <c r="S404" s="1">
        <f t="shared" si="111"/>
        <v>0</v>
      </c>
      <c r="T404" s="1">
        <f t="shared" si="112"/>
        <v>0</v>
      </c>
      <c r="U404" s="1">
        <f t="shared" si="113"/>
        <v>0</v>
      </c>
      <c r="V404" s="1">
        <f t="shared" si="100"/>
        <v>0</v>
      </c>
      <c r="W404" s="1">
        <f t="shared" si="114"/>
        <v>0</v>
      </c>
      <c r="X404" s="1">
        <f t="shared" si="115"/>
        <v>0</v>
      </c>
      <c r="Y404" s="1">
        <f t="shared" si="116"/>
        <v>0</v>
      </c>
      <c r="Z404" s="1">
        <f t="shared" si="117"/>
        <v>0</v>
      </c>
      <c r="AA404" s="1">
        <f t="shared" si="105"/>
        <v>0</v>
      </c>
    </row>
    <row r="405" spans="12:27" x14ac:dyDescent="0.3">
      <c r="L405">
        <v>404</v>
      </c>
      <c r="M405" s="1">
        <f t="shared" si="106"/>
        <v>0</v>
      </c>
      <c r="N405" s="1">
        <f t="shared" si="107"/>
        <v>0</v>
      </c>
      <c r="O405" s="1">
        <f t="shared" si="108"/>
        <v>0</v>
      </c>
      <c r="P405" s="1">
        <f t="shared" si="109"/>
        <v>0</v>
      </c>
      <c r="Q405" s="1">
        <f t="shared" si="95"/>
        <v>0</v>
      </c>
      <c r="R405" s="1">
        <f t="shared" si="110"/>
        <v>0</v>
      </c>
      <c r="S405" s="1">
        <f t="shared" si="111"/>
        <v>0</v>
      </c>
      <c r="T405" s="1">
        <f t="shared" si="112"/>
        <v>0</v>
      </c>
      <c r="U405" s="1">
        <f t="shared" si="113"/>
        <v>0</v>
      </c>
      <c r="V405" s="1">
        <f t="shared" si="100"/>
        <v>0</v>
      </c>
      <c r="W405" s="1">
        <f t="shared" si="114"/>
        <v>0</v>
      </c>
      <c r="X405" s="1">
        <f t="shared" si="115"/>
        <v>0</v>
      </c>
      <c r="Y405" s="1">
        <f t="shared" si="116"/>
        <v>0</v>
      </c>
      <c r="Z405" s="1">
        <f t="shared" si="117"/>
        <v>0</v>
      </c>
      <c r="AA405" s="1">
        <f t="shared" si="105"/>
        <v>0</v>
      </c>
    </row>
    <row r="406" spans="12:27" x14ac:dyDescent="0.3">
      <c r="L406">
        <v>405</v>
      </c>
      <c r="M406" s="1">
        <f t="shared" si="106"/>
        <v>0</v>
      </c>
      <c r="N406" s="1">
        <f t="shared" si="107"/>
        <v>0</v>
      </c>
      <c r="O406" s="1">
        <f t="shared" si="108"/>
        <v>0</v>
      </c>
      <c r="P406" s="1">
        <f t="shared" si="109"/>
        <v>0</v>
      </c>
      <c r="Q406" s="1">
        <f t="shared" si="95"/>
        <v>0</v>
      </c>
      <c r="R406" s="1">
        <f t="shared" si="110"/>
        <v>0</v>
      </c>
      <c r="S406" s="1">
        <f t="shared" si="111"/>
        <v>0</v>
      </c>
      <c r="T406" s="1">
        <f t="shared" si="112"/>
        <v>0</v>
      </c>
      <c r="U406" s="1">
        <f t="shared" si="113"/>
        <v>0</v>
      </c>
      <c r="V406" s="1">
        <f t="shared" si="100"/>
        <v>0</v>
      </c>
      <c r="W406" s="1">
        <f t="shared" si="114"/>
        <v>0</v>
      </c>
      <c r="X406" s="1">
        <f t="shared" si="115"/>
        <v>0</v>
      </c>
      <c r="Y406" s="1">
        <f t="shared" si="116"/>
        <v>0</v>
      </c>
      <c r="Z406" s="1">
        <f t="shared" si="117"/>
        <v>0</v>
      </c>
      <c r="AA406" s="1">
        <f t="shared" si="105"/>
        <v>0</v>
      </c>
    </row>
    <row r="407" spans="12:27" x14ac:dyDescent="0.3">
      <c r="L407">
        <v>406</v>
      </c>
      <c r="M407" s="1">
        <f t="shared" si="106"/>
        <v>0</v>
      </c>
      <c r="N407" s="1">
        <f t="shared" si="107"/>
        <v>0</v>
      </c>
      <c r="O407" s="1">
        <f t="shared" si="108"/>
        <v>0</v>
      </c>
      <c r="P407" s="1">
        <f t="shared" si="109"/>
        <v>0</v>
      </c>
      <c r="Q407" s="1">
        <f t="shared" si="95"/>
        <v>0</v>
      </c>
      <c r="R407" s="1">
        <f t="shared" si="110"/>
        <v>0</v>
      </c>
      <c r="S407" s="1">
        <f t="shared" si="111"/>
        <v>0</v>
      </c>
      <c r="T407" s="1">
        <f t="shared" si="112"/>
        <v>0</v>
      </c>
      <c r="U407" s="1">
        <f t="shared" si="113"/>
        <v>0</v>
      </c>
      <c r="V407" s="1">
        <f t="shared" si="100"/>
        <v>0</v>
      </c>
      <c r="W407" s="1">
        <f t="shared" si="114"/>
        <v>0</v>
      </c>
      <c r="X407" s="1">
        <f t="shared" si="115"/>
        <v>0</v>
      </c>
      <c r="Y407" s="1">
        <f t="shared" si="116"/>
        <v>0</v>
      </c>
      <c r="Z407" s="1">
        <f t="shared" si="117"/>
        <v>0</v>
      </c>
      <c r="AA407" s="1">
        <f t="shared" si="105"/>
        <v>0</v>
      </c>
    </row>
    <row r="408" spans="12:27" x14ac:dyDescent="0.3">
      <c r="L408">
        <v>407</v>
      </c>
      <c r="M408" s="1">
        <f t="shared" si="106"/>
        <v>0</v>
      </c>
      <c r="N408" s="1">
        <f t="shared" si="107"/>
        <v>0</v>
      </c>
      <c r="O408" s="1">
        <f t="shared" si="108"/>
        <v>0</v>
      </c>
      <c r="P408" s="1">
        <f t="shared" si="109"/>
        <v>0</v>
      </c>
      <c r="Q408" s="1">
        <f t="shared" si="95"/>
        <v>0</v>
      </c>
      <c r="R408" s="1">
        <f t="shared" si="110"/>
        <v>0</v>
      </c>
      <c r="S408" s="1">
        <f t="shared" si="111"/>
        <v>0</v>
      </c>
      <c r="T408" s="1">
        <f t="shared" si="112"/>
        <v>0</v>
      </c>
      <c r="U408" s="1">
        <f t="shared" si="113"/>
        <v>0</v>
      </c>
      <c r="V408" s="1">
        <f t="shared" si="100"/>
        <v>0</v>
      </c>
      <c r="W408" s="1">
        <f t="shared" si="114"/>
        <v>0</v>
      </c>
      <c r="X408" s="1">
        <f t="shared" si="115"/>
        <v>0</v>
      </c>
      <c r="Y408" s="1">
        <f t="shared" si="116"/>
        <v>0</v>
      </c>
      <c r="Z408" s="1">
        <f t="shared" si="117"/>
        <v>0</v>
      </c>
      <c r="AA408" s="1">
        <f t="shared" si="105"/>
        <v>0</v>
      </c>
    </row>
    <row r="409" spans="12:27" x14ac:dyDescent="0.3">
      <c r="L409">
        <v>408</v>
      </c>
      <c r="M409" s="1">
        <f t="shared" si="106"/>
        <v>0</v>
      </c>
      <c r="N409" s="1">
        <f t="shared" si="107"/>
        <v>0</v>
      </c>
      <c r="O409" s="1">
        <f t="shared" si="108"/>
        <v>0</v>
      </c>
      <c r="P409" s="1">
        <f t="shared" si="109"/>
        <v>0</v>
      </c>
      <c r="Q409" s="1">
        <f t="shared" si="95"/>
        <v>0</v>
      </c>
      <c r="R409" s="1">
        <f t="shared" si="110"/>
        <v>0</v>
      </c>
      <c r="S409" s="1">
        <f t="shared" si="111"/>
        <v>0</v>
      </c>
      <c r="T409" s="1">
        <f t="shared" si="112"/>
        <v>0</v>
      </c>
      <c r="U409" s="1">
        <f t="shared" si="113"/>
        <v>0</v>
      </c>
      <c r="V409" s="1">
        <f t="shared" si="100"/>
        <v>0</v>
      </c>
      <c r="W409" s="1">
        <f t="shared" si="114"/>
        <v>0</v>
      </c>
      <c r="X409" s="1">
        <f t="shared" si="115"/>
        <v>0</v>
      </c>
      <c r="Y409" s="1">
        <f t="shared" si="116"/>
        <v>0</v>
      </c>
      <c r="Z409" s="1">
        <f t="shared" si="117"/>
        <v>0</v>
      </c>
      <c r="AA409" s="1">
        <f t="shared" si="105"/>
        <v>0</v>
      </c>
    </row>
    <row r="410" spans="12:27" x14ac:dyDescent="0.3">
      <c r="L410">
        <v>409</v>
      </c>
      <c r="M410" s="1">
        <f t="shared" si="106"/>
        <v>0</v>
      </c>
      <c r="N410" s="1">
        <f t="shared" si="107"/>
        <v>0</v>
      </c>
      <c r="O410" s="1">
        <f t="shared" si="108"/>
        <v>0</v>
      </c>
      <c r="P410" s="1">
        <f t="shared" si="109"/>
        <v>0</v>
      </c>
      <c r="Q410" s="1">
        <f t="shared" si="95"/>
        <v>0</v>
      </c>
      <c r="R410" s="1">
        <f t="shared" si="110"/>
        <v>0</v>
      </c>
      <c r="S410" s="1">
        <f t="shared" si="111"/>
        <v>0</v>
      </c>
      <c r="T410" s="1">
        <f t="shared" si="112"/>
        <v>0</v>
      </c>
      <c r="U410" s="1">
        <f t="shared" si="113"/>
        <v>0</v>
      </c>
      <c r="V410" s="1">
        <f t="shared" si="100"/>
        <v>0</v>
      </c>
      <c r="W410" s="1">
        <f t="shared" si="114"/>
        <v>0</v>
      </c>
      <c r="X410" s="1">
        <f t="shared" si="115"/>
        <v>0</v>
      </c>
      <c r="Y410" s="1">
        <f t="shared" si="116"/>
        <v>0</v>
      </c>
      <c r="Z410" s="1">
        <f t="shared" si="117"/>
        <v>0</v>
      </c>
      <c r="AA410" s="1">
        <f t="shared" si="105"/>
        <v>0</v>
      </c>
    </row>
    <row r="411" spans="12:27" x14ac:dyDescent="0.3">
      <c r="L411">
        <v>410</v>
      </c>
      <c r="M411" s="1">
        <f t="shared" si="106"/>
        <v>0</v>
      </c>
      <c r="N411" s="1">
        <f t="shared" si="107"/>
        <v>0</v>
      </c>
      <c r="O411" s="1">
        <f t="shared" si="108"/>
        <v>0</v>
      </c>
      <c r="P411" s="1">
        <f t="shared" si="109"/>
        <v>0</v>
      </c>
      <c r="Q411" s="1">
        <f t="shared" si="95"/>
        <v>0</v>
      </c>
      <c r="R411" s="1">
        <f t="shared" si="110"/>
        <v>0</v>
      </c>
      <c r="S411" s="1">
        <f t="shared" si="111"/>
        <v>0</v>
      </c>
      <c r="T411" s="1">
        <f t="shared" si="112"/>
        <v>0</v>
      </c>
      <c r="U411" s="1">
        <f t="shared" si="113"/>
        <v>0</v>
      </c>
      <c r="V411" s="1">
        <f t="shared" si="100"/>
        <v>0</v>
      </c>
      <c r="W411" s="1">
        <f t="shared" si="114"/>
        <v>0</v>
      </c>
      <c r="X411" s="1">
        <f t="shared" si="115"/>
        <v>0</v>
      </c>
      <c r="Y411" s="1">
        <f t="shared" si="116"/>
        <v>0</v>
      </c>
      <c r="Z411" s="1">
        <f t="shared" si="117"/>
        <v>0</v>
      </c>
      <c r="AA411" s="1">
        <f t="shared" si="105"/>
        <v>0</v>
      </c>
    </row>
    <row r="412" spans="12:27" x14ac:dyDescent="0.3">
      <c r="L412">
        <v>411</v>
      </c>
      <c r="M412" s="1">
        <f t="shared" si="106"/>
        <v>0</v>
      </c>
      <c r="N412" s="1">
        <f t="shared" si="107"/>
        <v>0</v>
      </c>
      <c r="O412" s="1">
        <f t="shared" si="108"/>
        <v>0</v>
      </c>
      <c r="P412" s="1">
        <f t="shared" si="109"/>
        <v>0</v>
      </c>
      <c r="Q412" s="1">
        <f t="shared" si="95"/>
        <v>0</v>
      </c>
      <c r="R412" s="1">
        <f t="shared" si="110"/>
        <v>0</v>
      </c>
      <c r="S412" s="1">
        <f t="shared" si="111"/>
        <v>0</v>
      </c>
      <c r="T412" s="1">
        <f t="shared" si="112"/>
        <v>0</v>
      </c>
      <c r="U412" s="1">
        <f t="shared" si="113"/>
        <v>0</v>
      </c>
      <c r="V412" s="1">
        <f t="shared" si="100"/>
        <v>0</v>
      </c>
      <c r="W412" s="1">
        <f t="shared" si="114"/>
        <v>0</v>
      </c>
      <c r="X412" s="1">
        <f t="shared" si="115"/>
        <v>0</v>
      </c>
      <c r="Y412" s="1">
        <f t="shared" si="116"/>
        <v>0</v>
      </c>
      <c r="Z412" s="1">
        <f t="shared" si="117"/>
        <v>0</v>
      </c>
      <c r="AA412" s="1">
        <f t="shared" si="105"/>
        <v>0</v>
      </c>
    </row>
    <row r="413" spans="12:27" x14ac:dyDescent="0.3">
      <c r="L413">
        <v>412</v>
      </c>
      <c r="M413" s="1">
        <f t="shared" si="106"/>
        <v>0</v>
      </c>
      <c r="N413" s="1">
        <f t="shared" si="107"/>
        <v>0</v>
      </c>
      <c r="O413" s="1">
        <f t="shared" si="108"/>
        <v>0</v>
      </c>
      <c r="P413" s="1">
        <f t="shared" si="109"/>
        <v>0</v>
      </c>
      <c r="Q413" s="1">
        <f t="shared" si="95"/>
        <v>0</v>
      </c>
      <c r="R413" s="1">
        <f t="shared" si="110"/>
        <v>0</v>
      </c>
      <c r="S413" s="1">
        <f t="shared" si="111"/>
        <v>0</v>
      </c>
      <c r="T413" s="1">
        <f t="shared" si="112"/>
        <v>0</v>
      </c>
      <c r="U413" s="1">
        <f t="shared" si="113"/>
        <v>0</v>
      </c>
      <c r="V413" s="1">
        <f t="shared" si="100"/>
        <v>0</v>
      </c>
      <c r="W413" s="1">
        <f t="shared" si="114"/>
        <v>0</v>
      </c>
      <c r="X413" s="1">
        <f t="shared" si="115"/>
        <v>0</v>
      </c>
      <c r="Y413" s="1">
        <f t="shared" si="116"/>
        <v>0</v>
      </c>
      <c r="Z413" s="1">
        <f t="shared" si="117"/>
        <v>0</v>
      </c>
      <c r="AA413" s="1">
        <f t="shared" si="105"/>
        <v>0</v>
      </c>
    </row>
    <row r="414" spans="12:27" x14ac:dyDescent="0.3">
      <c r="L414">
        <v>413</v>
      </c>
      <c r="M414" s="1">
        <f t="shared" si="106"/>
        <v>0</v>
      </c>
      <c r="N414" s="1">
        <f t="shared" si="107"/>
        <v>0</v>
      </c>
      <c r="O414" s="1">
        <f t="shared" si="108"/>
        <v>0</v>
      </c>
      <c r="P414" s="1">
        <f t="shared" si="109"/>
        <v>0</v>
      </c>
      <c r="Q414" s="1">
        <f t="shared" si="95"/>
        <v>0</v>
      </c>
      <c r="R414" s="1">
        <f t="shared" si="110"/>
        <v>0</v>
      </c>
      <c r="S414" s="1">
        <f t="shared" si="111"/>
        <v>0</v>
      </c>
      <c r="T414" s="1">
        <f t="shared" si="112"/>
        <v>0</v>
      </c>
      <c r="U414" s="1">
        <f t="shared" si="113"/>
        <v>0</v>
      </c>
      <c r="V414" s="1">
        <f t="shared" si="100"/>
        <v>0</v>
      </c>
      <c r="W414" s="1">
        <f t="shared" si="114"/>
        <v>0</v>
      </c>
      <c r="X414" s="1">
        <f t="shared" si="115"/>
        <v>0</v>
      </c>
      <c r="Y414" s="1">
        <f t="shared" si="116"/>
        <v>0</v>
      </c>
      <c r="Z414" s="1">
        <f t="shared" si="117"/>
        <v>0</v>
      </c>
      <c r="AA414" s="1">
        <f t="shared" si="105"/>
        <v>0</v>
      </c>
    </row>
    <row r="415" spans="12:27" x14ac:dyDescent="0.3">
      <c r="L415">
        <v>414</v>
      </c>
      <c r="M415" s="1">
        <f t="shared" si="106"/>
        <v>0</v>
      </c>
      <c r="N415" s="1">
        <f t="shared" si="107"/>
        <v>0</v>
      </c>
      <c r="O415" s="1">
        <f t="shared" si="108"/>
        <v>0</v>
      </c>
      <c r="P415" s="1">
        <f t="shared" si="109"/>
        <v>0</v>
      </c>
      <c r="Q415" s="1">
        <f t="shared" si="95"/>
        <v>0</v>
      </c>
      <c r="R415" s="1">
        <f t="shared" si="110"/>
        <v>0</v>
      </c>
      <c r="S415" s="1">
        <f t="shared" si="111"/>
        <v>0</v>
      </c>
      <c r="T415" s="1">
        <f t="shared" si="112"/>
        <v>0</v>
      </c>
      <c r="U415" s="1">
        <f t="shared" si="113"/>
        <v>0</v>
      </c>
      <c r="V415" s="1">
        <f t="shared" si="100"/>
        <v>0</v>
      </c>
      <c r="W415" s="1">
        <f t="shared" si="114"/>
        <v>0</v>
      </c>
      <c r="X415" s="1">
        <f t="shared" si="115"/>
        <v>0</v>
      </c>
      <c r="Y415" s="1">
        <f t="shared" si="116"/>
        <v>0</v>
      </c>
      <c r="Z415" s="1">
        <f t="shared" si="117"/>
        <v>0</v>
      </c>
      <c r="AA415" s="1">
        <f t="shared" si="105"/>
        <v>0</v>
      </c>
    </row>
    <row r="416" spans="12:27" x14ac:dyDescent="0.3">
      <c r="L416">
        <v>415</v>
      </c>
      <c r="M416" s="1">
        <f t="shared" si="106"/>
        <v>0</v>
      </c>
      <c r="N416" s="1">
        <f t="shared" si="107"/>
        <v>0</v>
      </c>
      <c r="O416" s="1">
        <f t="shared" si="108"/>
        <v>0</v>
      </c>
      <c r="P416" s="1">
        <f t="shared" si="109"/>
        <v>0</v>
      </c>
      <c r="Q416" s="1">
        <f t="shared" si="95"/>
        <v>0</v>
      </c>
      <c r="R416" s="1">
        <f t="shared" si="110"/>
        <v>0</v>
      </c>
      <c r="S416" s="1">
        <f t="shared" si="111"/>
        <v>0</v>
      </c>
      <c r="T416" s="1">
        <f t="shared" si="112"/>
        <v>0</v>
      </c>
      <c r="U416" s="1">
        <f t="shared" si="113"/>
        <v>0</v>
      </c>
      <c r="V416" s="1">
        <f t="shared" si="100"/>
        <v>0</v>
      </c>
      <c r="W416" s="1">
        <f t="shared" si="114"/>
        <v>0</v>
      </c>
      <c r="X416" s="1">
        <f t="shared" si="115"/>
        <v>0</v>
      </c>
      <c r="Y416" s="1">
        <f t="shared" si="116"/>
        <v>0</v>
      </c>
      <c r="Z416" s="1">
        <f t="shared" si="117"/>
        <v>0</v>
      </c>
      <c r="AA416" s="1">
        <f t="shared" si="105"/>
        <v>0</v>
      </c>
    </row>
    <row r="417" spans="12:27" x14ac:dyDescent="0.3">
      <c r="L417">
        <v>416</v>
      </c>
      <c r="M417" s="1">
        <f t="shared" si="106"/>
        <v>0</v>
      </c>
      <c r="N417" s="1">
        <f t="shared" si="107"/>
        <v>0</v>
      </c>
      <c r="O417" s="1">
        <f t="shared" si="108"/>
        <v>0</v>
      </c>
      <c r="P417" s="1">
        <f t="shared" si="109"/>
        <v>0</v>
      </c>
      <c r="Q417" s="1">
        <f t="shared" si="95"/>
        <v>0</v>
      </c>
      <c r="R417" s="1">
        <f t="shared" si="110"/>
        <v>0</v>
      </c>
      <c r="S417" s="1">
        <f t="shared" si="111"/>
        <v>0</v>
      </c>
      <c r="T417" s="1">
        <f t="shared" si="112"/>
        <v>0</v>
      </c>
      <c r="U417" s="1">
        <f t="shared" si="113"/>
        <v>0</v>
      </c>
      <c r="V417" s="1">
        <f t="shared" si="100"/>
        <v>0</v>
      </c>
      <c r="W417" s="1">
        <f t="shared" si="114"/>
        <v>0</v>
      </c>
      <c r="X417" s="1">
        <f t="shared" si="115"/>
        <v>0</v>
      </c>
      <c r="Y417" s="1">
        <f t="shared" si="116"/>
        <v>0</v>
      </c>
      <c r="Z417" s="1">
        <f t="shared" si="117"/>
        <v>0</v>
      </c>
      <c r="AA417" s="1">
        <f t="shared" si="105"/>
        <v>0</v>
      </c>
    </row>
    <row r="418" spans="12:27" x14ac:dyDescent="0.3">
      <c r="L418">
        <v>417</v>
      </c>
      <c r="M418" s="1">
        <f t="shared" si="106"/>
        <v>0</v>
      </c>
      <c r="N418" s="1">
        <f t="shared" si="107"/>
        <v>0</v>
      </c>
      <c r="O418" s="1">
        <f t="shared" si="108"/>
        <v>0</v>
      </c>
      <c r="P418" s="1">
        <f t="shared" si="109"/>
        <v>0</v>
      </c>
      <c r="Q418" s="1">
        <f t="shared" si="95"/>
        <v>0</v>
      </c>
      <c r="R418" s="1">
        <f t="shared" si="110"/>
        <v>0</v>
      </c>
      <c r="S418" s="1">
        <f t="shared" si="111"/>
        <v>0</v>
      </c>
      <c r="T418" s="1">
        <f t="shared" si="112"/>
        <v>0</v>
      </c>
      <c r="U418" s="1">
        <f t="shared" si="113"/>
        <v>0</v>
      </c>
      <c r="V418" s="1">
        <f t="shared" si="100"/>
        <v>0</v>
      </c>
      <c r="W418" s="1">
        <f t="shared" si="114"/>
        <v>0</v>
      </c>
      <c r="X418" s="1">
        <f t="shared" si="115"/>
        <v>0</v>
      </c>
      <c r="Y418" s="1">
        <f t="shared" si="116"/>
        <v>0</v>
      </c>
      <c r="Z418" s="1">
        <f t="shared" si="117"/>
        <v>0</v>
      </c>
      <c r="AA418" s="1">
        <f t="shared" si="105"/>
        <v>0</v>
      </c>
    </row>
    <row r="419" spans="12:27" x14ac:dyDescent="0.3">
      <c r="L419">
        <v>418</v>
      </c>
      <c r="M419" s="1">
        <f t="shared" si="106"/>
        <v>0</v>
      </c>
      <c r="N419" s="1">
        <f t="shared" si="107"/>
        <v>0</v>
      </c>
      <c r="O419" s="1">
        <f t="shared" si="108"/>
        <v>0</v>
      </c>
      <c r="P419" s="1">
        <f t="shared" si="109"/>
        <v>0</v>
      </c>
      <c r="Q419" s="1">
        <f t="shared" si="95"/>
        <v>0</v>
      </c>
      <c r="R419" s="1">
        <f t="shared" si="110"/>
        <v>0</v>
      </c>
      <c r="S419" s="1">
        <f t="shared" si="111"/>
        <v>0</v>
      </c>
      <c r="T419" s="1">
        <f t="shared" si="112"/>
        <v>0</v>
      </c>
      <c r="U419" s="1">
        <f t="shared" si="113"/>
        <v>0</v>
      </c>
      <c r="V419" s="1">
        <f t="shared" si="100"/>
        <v>0</v>
      </c>
      <c r="W419" s="1">
        <f t="shared" si="114"/>
        <v>0</v>
      </c>
      <c r="X419" s="1">
        <f t="shared" si="115"/>
        <v>0</v>
      </c>
      <c r="Y419" s="1">
        <f t="shared" si="116"/>
        <v>0</v>
      </c>
      <c r="Z419" s="1">
        <f t="shared" si="117"/>
        <v>0</v>
      </c>
      <c r="AA419" s="1">
        <f t="shared" si="105"/>
        <v>0</v>
      </c>
    </row>
    <row r="420" spans="12:27" x14ac:dyDescent="0.3">
      <c r="L420">
        <v>419</v>
      </c>
      <c r="M420" s="1">
        <f t="shared" si="106"/>
        <v>0</v>
      </c>
      <c r="N420" s="1">
        <f t="shared" si="107"/>
        <v>0</v>
      </c>
      <c r="O420" s="1">
        <f t="shared" si="108"/>
        <v>0</v>
      </c>
      <c r="P420" s="1">
        <f t="shared" si="109"/>
        <v>0</v>
      </c>
      <c r="Q420" s="1">
        <f t="shared" si="95"/>
        <v>0</v>
      </c>
      <c r="R420" s="1">
        <f t="shared" si="110"/>
        <v>0</v>
      </c>
      <c r="S420" s="1">
        <f t="shared" si="111"/>
        <v>0</v>
      </c>
      <c r="T420" s="1">
        <f t="shared" si="112"/>
        <v>0</v>
      </c>
      <c r="U420" s="1">
        <f t="shared" si="113"/>
        <v>0</v>
      </c>
      <c r="V420" s="1">
        <f t="shared" si="100"/>
        <v>0</v>
      </c>
      <c r="W420" s="1">
        <f t="shared" si="114"/>
        <v>0</v>
      </c>
      <c r="X420" s="1">
        <f t="shared" si="115"/>
        <v>0</v>
      </c>
      <c r="Y420" s="1">
        <f t="shared" si="116"/>
        <v>0</v>
      </c>
      <c r="Z420" s="1">
        <f t="shared" si="117"/>
        <v>0</v>
      </c>
      <c r="AA420" s="1">
        <f t="shared" si="105"/>
        <v>0</v>
      </c>
    </row>
    <row r="421" spans="12:27" x14ac:dyDescent="0.3">
      <c r="L421">
        <v>420</v>
      </c>
      <c r="M421" s="1">
        <f t="shared" si="106"/>
        <v>0</v>
      </c>
      <c r="N421" s="1">
        <f t="shared" si="107"/>
        <v>0</v>
      </c>
      <c r="O421" s="1">
        <f t="shared" si="108"/>
        <v>0</v>
      </c>
      <c r="P421" s="1">
        <f t="shared" si="109"/>
        <v>0</v>
      </c>
      <c r="Q421" s="1">
        <f t="shared" si="95"/>
        <v>0</v>
      </c>
      <c r="R421" s="1">
        <f t="shared" si="110"/>
        <v>0</v>
      </c>
      <c r="S421" s="1">
        <f t="shared" si="111"/>
        <v>0</v>
      </c>
      <c r="T421" s="1">
        <f t="shared" si="112"/>
        <v>0</v>
      </c>
      <c r="U421" s="1">
        <f t="shared" si="113"/>
        <v>0</v>
      </c>
      <c r="V421" s="1">
        <f t="shared" si="100"/>
        <v>0</v>
      </c>
      <c r="W421" s="1">
        <f t="shared" si="114"/>
        <v>0</v>
      </c>
      <c r="X421" s="1">
        <f t="shared" si="115"/>
        <v>0</v>
      </c>
      <c r="Y421" s="1">
        <f t="shared" si="116"/>
        <v>0</v>
      </c>
      <c r="Z421" s="1">
        <f t="shared" si="117"/>
        <v>0</v>
      </c>
      <c r="AA421" s="1">
        <f t="shared" si="105"/>
        <v>0</v>
      </c>
    </row>
    <row r="422" spans="12:27" x14ac:dyDescent="0.3">
      <c r="L422">
        <v>421</v>
      </c>
      <c r="M422" s="1">
        <f t="shared" si="106"/>
        <v>0</v>
      </c>
      <c r="N422" s="1">
        <f t="shared" si="107"/>
        <v>0</v>
      </c>
      <c r="O422" s="1">
        <f t="shared" si="108"/>
        <v>0</v>
      </c>
      <c r="P422" s="1">
        <f t="shared" si="109"/>
        <v>0</v>
      </c>
      <c r="Q422" s="1">
        <f t="shared" si="95"/>
        <v>0</v>
      </c>
      <c r="R422" s="1">
        <f t="shared" si="110"/>
        <v>0</v>
      </c>
      <c r="S422" s="1">
        <f t="shared" si="111"/>
        <v>0</v>
      </c>
      <c r="T422" s="1">
        <f t="shared" si="112"/>
        <v>0</v>
      </c>
      <c r="U422" s="1">
        <f t="shared" si="113"/>
        <v>0</v>
      </c>
      <c r="V422" s="1">
        <f t="shared" si="100"/>
        <v>0</v>
      </c>
      <c r="W422" s="1">
        <f t="shared" si="114"/>
        <v>0</v>
      </c>
      <c r="X422" s="1">
        <f t="shared" si="115"/>
        <v>0</v>
      </c>
      <c r="Y422" s="1">
        <f t="shared" si="116"/>
        <v>0</v>
      </c>
      <c r="Z422" s="1">
        <f t="shared" si="117"/>
        <v>0</v>
      </c>
      <c r="AA422" s="1">
        <f t="shared" si="105"/>
        <v>0</v>
      </c>
    </row>
    <row r="423" spans="12:27" x14ac:dyDescent="0.3">
      <c r="L423">
        <v>422</v>
      </c>
      <c r="M423" s="1">
        <f t="shared" si="106"/>
        <v>0</v>
      </c>
      <c r="N423" s="1">
        <f t="shared" si="107"/>
        <v>0</v>
      </c>
      <c r="O423" s="1">
        <f t="shared" si="108"/>
        <v>0</v>
      </c>
      <c r="P423" s="1">
        <f t="shared" si="109"/>
        <v>0</v>
      </c>
      <c r="Q423" s="1">
        <f t="shared" si="95"/>
        <v>0</v>
      </c>
      <c r="R423" s="1">
        <f t="shared" si="110"/>
        <v>0</v>
      </c>
      <c r="S423" s="1">
        <f t="shared" si="111"/>
        <v>0</v>
      </c>
      <c r="T423" s="1">
        <f t="shared" si="112"/>
        <v>0</v>
      </c>
      <c r="U423" s="1">
        <f t="shared" si="113"/>
        <v>0</v>
      </c>
      <c r="V423" s="1">
        <f t="shared" si="100"/>
        <v>0</v>
      </c>
      <c r="W423" s="1">
        <f t="shared" si="114"/>
        <v>0</v>
      </c>
      <c r="X423" s="1">
        <f t="shared" si="115"/>
        <v>0</v>
      </c>
      <c r="Y423" s="1">
        <f t="shared" si="116"/>
        <v>0</v>
      </c>
      <c r="Z423" s="1">
        <f t="shared" si="117"/>
        <v>0</v>
      </c>
      <c r="AA423" s="1">
        <f t="shared" si="105"/>
        <v>0</v>
      </c>
    </row>
    <row r="424" spans="12:27" x14ac:dyDescent="0.3">
      <c r="L424">
        <v>423</v>
      </c>
      <c r="M424" s="1">
        <f t="shared" si="106"/>
        <v>0</v>
      </c>
      <c r="N424" s="1">
        <f t="shared" si="107"/>
        <v>0</v>
      </c>
      <c r="O424" s="1">
        <f t="shared" si="108"/>
        <v>0</v>
      </c>
      <c r="P424" s="1">
        <f t="shared" si="109"/>
        <v>0</v>
      </c>
      <c r="Q424" s="1">
        <f t="shared" si="95"/>
        <v>0</v>
      </c>
      <c r="R424" s="1">
        <f t="shared" si="110"/>
        <v>0</v>
      </c>
      <c r="S424" s="1">
        <f t="shared" si="111"/>
        <v>0</v>
      </c>
      <c r="T424" s="1">
        <f t="shared" si="112"/>
        <v>0</v>
      </c>
      <c r="U424" s="1">
        <f t="shared" si="113"/>
        <v>0</v>
      </c>
      <c r="V424" s="1">
        <f t="shared" si="100"/>
        <v>0</v>
      </c>
      <c r="W424" s="1">
        <f t="shared" si="114"/>
        <v>0</v>
      </c>
      <c r="X424" s="1">
        <f t="shared" si="115"/>
        <v>0</v>
      </c>
      <c r="Y424" s="1">
        <f t="shared" si="116"/>
        <v>0</v>
      </c>
      <c r="Z424" s="1">
        <f t="shared" si="117"/>
        <v>0</v>
      </c>
      <c r="AA424" s="1">
        <f t="shared" si="105"/>
        <v>0</v>
      </c>
    </row>
    <row r="425" spans="12:27" x14ac:dyDescent="0.3">
      <c r="L425">
        <v>424</v>
      </c>
      <c r="M425" s="1">
        <f t="shared" si="106"/>
        <v>0</v>
      </c>
      <c r="N425" s="1">
        <f t="shared" si="107"/>
        <v>0</v>
      </c>
      <c r="O425" s="1">
        <f t="shared" si="108"/>
        <v>0</v>
      </c>
      <c r="P425" s="1">
        <f t="shared" si="109"/>
        <v>0</v>
      </c>
      <c r="Q425" s="1">
        <f t="shared" si="95"/>
        <v>0</v>
      </c>
      <c r="R425" s="1">
        <f t="shared" si="110"/>
        <v>0</v>
      </c>
      <c r="S425" s="1">
        <f t="shared" si="111"/>
        <v>0</v>
      </c>
      <c r="T425" s="1">
        <f t="shared" si="112"/>
        <v>0</v>
      </c>
      <c r="U425" s="1">
        <f t="shared" si="113"/>
        <v>0</v>
      </c>
      <c r="V425" s="1">
        <f t="shared" si="100"/>
        <v>0</v>
      </c>
      <c r="W425" s="1">
        <f t="shared" si="114"/>
        <v>0</v>
      </c>
      <c r="X425" s="1">
        <f t="shared" si="115"/>
        <v>0</v>
      </c>
      <c r="Y425" s="1">
        <f t="shared" si="116"/>
        <v>0</v>
      </c>
      <c r="Z425" s="1">
        <f t="shared" si="117"/>
        <v>0</v>
      </c>
      <c r="AA425" s="1">
        <f t="shared" si="105"/>
        <v>0</v>
      </c>
    </row>
    <row r="426" spans="12:27" x14ac:dyDescent="0.3">
      <c r="L426">
        <v>425</v>
      </c>
      <c r="M426" s="1">
        <f t="shared" si="106"/>
        <v>0</v>
      </c>
      <c r="N426" s="1">
        <f t="shared" si="107"/>
        <v>0</v>
      </c>
      <c r="O426" s="1">
        <f t="shared" si="108"/>
        <v>0</v>
      </c>
      <c r="P426" s="1">
        <f t="shared" si="109"/>
        <v>0</v>
      </c>
      <c r="Q426" s="1">
        <f t="shared" si="95"/>
        <v>0</v>
      </c>
      <c r="R426" s="1">
        <f t="shared" si="110"/>
        <v>0</v>
      </c>
      <c r="S426" s="1">
        <f t="shared" si="111"/>
        <v>0</v>
      </c>
      <c r="T426" s="1">
        <f t="shared" si="112"/>
        <v>0</v>
      </c>
      <c r="U426" s="1">
        <f t="shared" si="113"/>
        <v>0</v>
      </c>
      <c r="V426" s="1">
        <f t="shared" si="100"/>
        <v>0</v>
      </c>
      <c r="W426" s="1">
        <f t="shared" si="114"/>
        <v>0</v>
      </c>
      <c r="X426" s="1">
        <f t="shared" si="115"/>
        <v>0</v>
      </c>
      <c r="Y426" s="1">
        <f t="shared" si="116"/>
        <v>0</v>
      </c>
      <c r="Z426" s="1">
        <f t="shared" si="117"/>
        <v>0</v>
      </c>
      <c r="AA426" s="1">
        <f t="shared" si="105"/>
        <v>0</v>
      </c>
    </row>
    <row r="427" spans="12:27" x14ac:dyDescent="0.3">
      <c r="L427">
        <v>426</v>
      </c>
      <c r="M427" s="1">
        <f t="shared" si="106"/>
        <v>0</v>
      </c>
      <c r="N427" s="1">
        <f t="shared" si="107"/>
        <v>0</v>
      </c>
      <c r="O427" s="1">
        <f t="shared" si="108"/>
        <v>0</v>
      </c>
      <c r="P427" s="1">
        <f t="shared" si="109"/>
        <v>0</v>
      </c>
      <c r="Q427" s="1">
        <f t="shared" si="95"/>
        <v>0</v>
      </c>
      <c r="R427" s="1">
        <f t="shared" si="110"/>
        <v>0</v>
      </c>
      <c r="S427" s="1">
        <f t="shared" si="111"/>
        <v>0</v>
      </c>
      <c r="T427" s="1">
        <f t="shared" si="112"/>
        <v>0</v>
      </c>
      <c r="U427" s="1">
        <f t="shared" si="113"/>
        <v>0</v>
      </c>
      <c r="V427" s="1">
        <f t="shared" si="100"/>
        <v>0</v>
      </c>
      <c r="W427" s="1">
        <f t="shared" si="114"/>
        <v>0</v>
      </c>
      <c r="X427" s="1">
        <f t="shared" si="115"/>
        <v>0</v>
      </c>
      <c r="Y427" s="1">
        <f t="shared" si="116"/>
        <v>0</v>
      </c>
      <c r="Z427" s="1">
        <f t="shared" si="117"/>
        <v>0</v>
      </c>
      <c r="AA427" s="1">
        <f t="shared" si="105"/>
        <v>0</v>
      </c>
    </row>
    <row r="428" spans="12:27" x14ac:dyDescent="0.3">
      <c r="L428">
        <v>427</v>
      </c>
      <c r="M428" s="1">
        <f t="shared" si="106"/>
        <v>0</v>
      </c>
      <c r="N428" s="1">
        <f t="shared" si="107"/>
        <v>0</v>
      </c>
      <c r="O428" s="1">
        <f t="shared" si="108"/>
        <v>0</v>
      </c>
      <c r="P428" s="1">
        <f t="shared" si="109"/>
        <v>0</v>
      </c>
      <c r="Q428" s="1">
        <f t="shared" si="95"/>
        <v>0</v>
      </c>
      <c r="R428" s="1">
        <f t="shared" si="110"/>
        <v>0</v>
      </c>
      <c r="S428" s="1">
        <f t="shared" si="111"/>
        <v>0</v>
      </c>
      <c r="T428" s="1">
        <f t="shared" si="112"/>
        <v>0</v>
      </c>
      <c r="U428" s="1">
        <f t="shared" si="113"/>
        <v>0</v>
      </c>
      <c r="V428" s="1">
        <f t="shared" si="100"/>
        <v>0</v>
      </c>
      <c r="W428" s="1">
        <f t="shared" si="114"/>
        <v>0</v>
      </c>
      <c r="X428" s="1">
        <f t="shared" si="115"/>
        <v>0</v>
      </c>
      <c r="Y428" s="1">
        <f t="shared" si="116"/>
        <v>0</v>
      </c>
      <c r="Z428" s="1">
        <f t="shared" si="117"/>
        <v>0</v>
      </c>
      <c r="AA428" s="1">
        <f t="shared" si="105"/>
        <v>0</v>
      </c>
    </row>
    <row r="429" spans="12:27" x14ac:dyDescent="0.3">
      <c r="L429">
        <v>428</v>
      </c>
      <c r="M429" s="1">
        <f t="shared" si="106"/>
        <v>0</v>
      </c>
      <c r="N429" s="1">
        <f t="shared" si="107"/>
        <v>0</v>
      </c>
      <c r="O429" s="1">
        <f t="shared" si="108"/>
        <v>0</v>
      </c>
      <c r="P429" s="1">
        <f t="shared" si="109"/>
        <v>0</v>
      </c>
      <c r="Q429" s="1">
        <f t="shared" si="95"/>
        <v>0</v>
      </c>
      <c r="R429" s="1">
        <f t="shared" si="110"/>
        <v>0</v>
      </c>
      <c r="S429" s="1">
        <f t="shared" si="111"/>
        <v>0</v>
      </c>
      <c r="T429" s="1">
        <f t="shared" si="112"/>
        <v>0</v>
      </c>
      <c r="U429" s="1">
        <f t="shared" si="113"/>
        <v>0</v>
      </c>
      <c r="V429" s="1">
        <f t="shared" si="100"/>
        <v>0</v>
      </c>
      <c r="W429" s="1">
        <f t="shared" si="114"/>
        <v>0</v>
      </c>
      <c r="X429" s="1">
        <f t="shared" si="115"/>
        <v>0</v>
      </c>
      <c r="Y429" s="1">
        <f t="shared" si="116"/>
        <v>0</v>
      </c>
      <c r="Z429" s="1">
        <f t="shared" si="117"/>
        <v>0</v>
      </c>
      <c r="AA429" s="1">
        <f t="shared" si="105"/>
        <v>0</v>
      </c>
    </row>
    <row r="430" spans="12:27" x14ac:dyDescent="0.3">
      <c r="L430">
        <v>429</v>
      </c>
      <c r="M430" s="1">
        <f t="shared" si="106"/>
        <v>0</v>
      </c>
      <c r="N430" s="1">
        <f t="shared" si="107"/>
        <v>0</v>
      </c>
      <c r="O430" s="1">
        <f t="shared" si="108"/>
        <v>0</v>
      </c>
      <c r="P430" s="1">
        <f t="shared" si="109"/>
        <v>0</v>
      </c>
      <c r="Q430" s="1">
        <f t="shared" si="95"/>
        <v>0</v>
      </c>
      <c r="R430" s="1">
        <f t="shared" si="110"/>
        <v>0</v>
      </c>
      <c r="S430" s="1">
        <f t="shared" si="111"/>
        <v>0</v>
      </c>
      <c r="T430" s="1">
        <f t="shared" si="112"/>
        <v>0</v>
      </c>
      <c r="U430" s="1">
        <f t="shared" si="113"/>
        <v>0</v>
      </c>
      <c r="V430" s="1">
        <f t="shared" si="100"/>
        <v>0</v>
      </c>
      <c r="W430" s="1">
        <f t="shared" si="114"/>
        <v>0</v>
      </c>
      <c r="X430" s="1">
        <f t="shared" si="115"/>
        <v>0</v>
      </c>
      <c r="Y430" s="1">
        <f t="shared" si="116"/>
        <v>0</v>
      </c>
      <c r="Z430" s="1">
        <f t="shared" si="117"/>
        <v>0</v>
      </c>
      <c r="AA430" s="1">
        <f t="shared" si="105"/>
        <v>0</v>
      </c>
    </row>
    <row r="431" spans="12:27" x14ac:dyDescent="0.3">
      <c r="L431">
        <v>430</v>
      </c>
      <c r="M431" s="1">
        <f t="shared" ref="M431:M462" si="118">IF(OR(kcjd&lt;jdplant1,kcjd&gt;jdplant1+C$21),0,kc.ini.1)</f>
        <v>0</v>
      </c>
      <c r="N431" s="1">
        <f t="shared" ref="N431:N462" si="119">IF(OR(kcjd&lt;jdplant1+C$21,kcjd&gt;jdplant1+SUM(C$21,D$21)),0,+H$21+(kcjd-(jdplant1+C$21))/(jdplant1+SUM(C$21,D$21)-(jdplant1+C$21))*(I$21-H$21))</f>
        <v>0</v>
      </c>
      <c r="O431" s="1">
        <f t="shared" ref="O431:O462" si="120">IF(OR(kcjd&lt;jdplant1+SUM(C$21,D$21),kcjd&gt;jdplant1+SUM(C$21,D$21,E$21)),0,kc.mid.1)</f>
        <v>0</v>
      </c>
      <c r="P431" s="1">
        <f t="shared" ref="P431:P462" si="121">IF(OR(kcjd&lt;jdplant1+SUM(C$21:E$21),kcjd&gt;jdplant1+G$21),0,+I$21-(kcjd-(jdplant1+SUM(C$21:E$21)))/((jdplant1+G$21)-(jdplant1+SUM(C$21:E$21)))*(I$21-J$21))</f>
        <v>0</v>
      </c>
      <c r="Q431" s="1">
        <f t="shared" ref="Q431:Q486" si="122">MAX(M431:P431)</f>
        <v>0</v>
      </c>
      <c r="R431" s="1">
        <f t="shared" ref="R431:R462" si="123">IF(OR(kcjd&lt;jdplant2,kcjd&gt;jdplant2+$C$22),0,kc.ini.2)</f>
        <v>0</v>
      </c>
      <c r="S431" s="1">
        <f t="shared" ref="S431:S462" si="124">IF(OR(kcjd&lt;jdplant2+$C$22,kcjd&gt;jdplant2+SUM($C$22,$D$22)),0,+kc.ini.2+(kcjd-(jdplant2+$C$22))/(jdplant2+SUM($C$22,$D$22)-(jdplant2+$C$22))*(kc.mid.2-kc.ini.2))</f>
        <v>0</v>
      </c>
      <c r="T431" s="1">
        <f t="shared" ref="T431:T462" si="125">IF(OR(kcjd&lt;jdplant2+SUM($C$22,$D$22),kcjd&gt;jdplant2+SUM($C$22,$D$22,$E$22)),0,kc.mid.2)</f>
        <v>0</v>
      </c>
      <c r="U431" s="1">
        <f t="shared" ref="U431:U462" si="126">IF(OR(kcjd&lt;jdplant2+SUM($C$22:$E$22),kcjd&gt;jdplant2+$G$22),0,+kc.mid.2-(kcjd-(jdplant2+SUM($C$22:$E$22)))/((jdplant2+$G$22)-(jdplant2+SUM($C$22:$E$22)))*(kc.mid.2-kc.late.2))</f>
        <v>0</v>
      </c>
      <c r="V431" s="1">
        <f t="shared" ref="V431:V486" si="127">MAX(R431:U431)</f>
        <v>0</v>
      </c>
      <c r="W431" s="1">
        <f t="shared" ref="W431:W462" si="128">IF(OR(kcjd&lt;jdplant3,kcjd&gt;jdplant3+$C$23),0,kc.ini.3)</f>
        <v>0</v>
      </c>
      <c r="X431" s="1">
        <f t="shared" ref="X431:X462" si="129">IF(OR(kcjd&lt;jdplant3+$C$23,kcjd&gt;jdplant3+SUM($C$23,$D$23)),0,+kc.ini.3+(kcjd-(jdplant3+$C$23))/(jdplant3+SUM($C$23,$D$23)-(jdplant3+$C$23))*(kc.mid.3-kc.ini.3))</f>
        <v>0</v>
      </c>
      <c r="Y431" s="1">
        <f t="shared" ref="Y431:Y462" si="130">IF(OR(kcjd&lt;jdplant3+SUM($C$23,$D$23),kcjd&gt;jdplant3+SUM($C$23,$D$23,$E$23)),0,kc.mid.3)</f>
        <v>0</v>
      </c>
      <c r="Z431" s="1">
        <f t="shared" ref="Z431:Z462" si="131">IF(OR(kcjd&lt;jdplant3+SUM($C$23:$E$23),kcjd&gt;jdplant3+$G$23),0,+kc.mid.3-(kcjd-(jdplant3+SUM($C$23:$E$23)))/((jdplant3+$G$23)-(jdplant3+SUM($C$23:$E$23)))*(kc.mid.3-kc.late.3))</f>
        <v>0</v>
      </c>
      <c r="AA431" s="1">
        <f t="shared" ref="AA431:AA486" si="132">MAX(W431:Z431)</f>
        <v>0</v>
      </c>
    </row>
    <row r="432" spans="12:27" x14ac:dyDescent="0.3">
      <c r="L432">
        <v>431</v>
      </c>
      <c r="M432" s="1">
        <f t="shared" si="118"/>
        <v>0</v>
      </c>
      <c r="N432" s="1">
        <f t="shared" si="119"/>
        <v>0</v>
      </c>
      <c r="O432" s="1">
        <f t="shared" si="120"/>
        <v>0</v>
      </c>
      <c r="P432" s="1">
        <f t="shared" si="121"/>
        <v>0</v>
      </c>
      <c r="Q432" s="1">
        <f t="shared" si="122"/>
        <v>0</v>
      </c>
      <c r="R432" s="1">
        <f t="shared" si="123"/>
        <v>0</v>
      </c>
      <c r="S432" s="1">
        <f t="shared" si="124"/>
        <v>0</v>
      </c>
      <c r="T432" s="1">
        <f t="shared" si="125"/>
        <v>0</v>
      </c>
      <c r="U432" s="1">
        <f t="shared" si="126"/>
        <v>0</v>
      </c>
      <c r="V432" s="1">
        <f t="shared" si="127"/>
        <v>0</v>
      </c>
      <c r="W432" s="1">
        <f t="shared" si="128"/>
        <v>0</v>
      </c>
      <c r="X432" s="1">
        <f t="shared" si="129"/>
        <v>0</v>
      </c>
      <c r="Y432" s="1">
        <f t="shared" si="130"/>
        <v>0</v>
      </c>
      <c r="Z432" s="1">
        <f t="shared" si="131"/>
        <v>0</v>
      </c>
      <c r="AA432" s="1">
        <f t="shared" si="132"/>
        <v>0</v>
      </c>
    </row>
    <row r="433" spans="12:27" x14ac:dyDescent="0.3">
      <c r="L433">
        <v>432</v>
      </c>
      <c r="M433" s="1">
        <f t="shared" si="118"/>
        <v>0</v>
      </c>
      <c r="N433" s="1">
        <f t="shared" si="119"/>
        <v>0</v>
      </c>
      <c r="O433" s="1">
        <f t="shared" si="120"/>
        <v>0</v>
      </c>
      <c r="P433" s="1">
        <f t="shared" si="121"/>
        <v>0</v>
      </c>
      <c r="Q433" s="1">
        <f t="shared" si="122"/>
        <v>0</v>
      </c>
      <c r="R433" s="1">
        <f t="shared" si="123"/>
        <v>0</v>
      </c>
      <c r="S433" s="1">
        <f t="shared" si="124"/>
        <v>0</v>
      </c>
      <c r="T433" s="1">
        <f t="shared" si="125"/>
        <v>0</v>
      </c>
      <c r="U433" s="1">
        <f t="shared" si="126"/>
        <v>0</v>
      </c>
      <c r="V433" s="1">
        <f t="shared" si="127"/>
        <v>0</v>
      </c>
      <c r="W433" s="1">
        <f t="shared" si="128"/>
        <v>0</v>
      </c>
      <c r="X433" s="1">
        <f t="shared" si="129"/>
        <v>0</v>
      </c>
      <c r="Y433" s="1">
        <f t="shared" si="130"/>
        <v>0</v>
      </c>
      <c r="Z433" s="1">
        <f t="shared" si="131"/>
        <v>0</v>
      </c>
      <c r="AA433" s="1">
        <f t="shared" si="132"/>
        <v>0</v>
      </c>
    </row>
    <row r="434" spans="12:27" x14ac:dyDescent="0.3">
      <c r="L434">
        <v>433</v>
      </c>
      <c r="M434" s="1">
        <f t="shared" si="118"/>
        <v>0</v>
      </c>
      <c r="N434" s="1">
        <f t="shared" si="119"/>
        <v>0</v>
      </c>
      <c r="O434" s="1">
        <f t="shared" si="120"/>
        <v>0</v>
      </c>
      <c r="P434" s="1">
        <f t="shared" si="121"/>
        <v>0</v>
      </c>
      <c r="Q434" s="1">
        <f t="shared" si="122"/>
        <v>0</v>
      </c>
      <c r="R434" s="1">
        <f t="shared" si="123"/>
        <v>0</v>
      </c>
      <c r="S434" s="1">
        <f t="shared" si="124"/>
        <v>0</v>
      </c>
      <c r="T434" s="1">
        <f t="shared" si="125"/>
        <v>0</v>
      </c>
      <c r="U434" s="1">
        <f t="shared" si="126"/>
        <v>0</v>
      </c>
      <c r="V434" s="1">
        <f t="shared" si="127"/>
        <v>0</v>
      </c>
      <c r="W434" s="1">
        <f t="shared" si="128"/>
        <v>0</v>
      </c>
      <c r="X434" s="1">
        <f t="shared" si="129"/>
        <v>0</v>
      </c>
      <c r="Y434" s="1">
        <f t="shared" si="130"/>
        <v>0</v>
      </c>
      <c r="Z434" s="1">
        <f t="shared" si="131"/>
        <v>0</v>
      </c>
      <c r="AA434" s="1">
        <f t="shared" si="132"/>
        <v>0</v>
      </c>
    </row>
    <row r="435" spans="12:27" x14ac:dyDescent="0.3">
      <c r="L435">
        <v>434</v>
      </c>
      <c r="M435" s="1">
        <f t="shared" si="118"/>
        <v>0</v>
      </c>
      <c r="N435" s="1">
        <f t="shared" si="119"/>
        <v>0</v>
      </c>
      <c r="O435" s="1">
        <f t="shared" si="120"/>
        <v>0</v>
      </c>
      <c r="P435" s="1">
        <f t="shared" si="121"/>
        <v>0</v>
      </c>
      <c r="Q435" s="1">
        <f t="shared" si="122"/>
        <v>0</v>
      </c>
      <c r="R435" s="1">
        <f t="shared" si="123"/>
        <v>0</v>
      </c>
      <c r="S435" s="1">
        <f t="shared" si="124"/>
        <v>0</v>
      </c>
      <c r="T435" s="1">
        <f t="shared" si="125"/>
        <v>0</v>
      </c>
      <c r="U435" s="1">
        <f t="shared" si="126"/>
        <v>0</v>
      </c>
      <c r="V435" s="1">
        <f t="shared" si="127"/>
        <v>0</v>
      </c>
      <c r="W435" s="1">
        <f t="shared" si="128"/>
        <v>0</v>
      </c>
      <c r="X435" s="1">
        <f t="shared" si="129"/>
        <v>0</v>
      </c>
      <c r="Y435" s="1">
        <f t="shared" si="130"/>
        <v>0</v>
      </c>
      <c r="Z435" s="1">
        <f t="shared" si="131"/>
        <v>0</v>
      </c>
      <c r="AA435" s="1">
        <f t="shared" si="132"/>
        <v>0</v>
      </c>
    </row>
    <row r="436" spans="12:27" x14ac:dyDescent="0.3">
      <c r="L436">
        <v>435</v>
      </c>
      <c r="M436" s="1">
        <f t="shared" si="118"/>
        <v>0</v>
      </c>
      <c r="N436" s="1">
        <f t="shared" si="119"/>
        <v>0</v>
      </c>
      <c r="O436" s="1">
        <f t="shared" si="120"/>
        <v>0</v>
      </c>
      <c r="P436" s="1">
        <f t="shared" si="121"/>
        <v>0</v>
      </c>
      <c r="Q436" s="1">
        <f t="shared" si="122"/>
        <v>0</v>
      </c>
      <c r="R436" s="1">
        <f t="shared" si="123"/>
        <v>0</v>
      </c>
      <c r="S436" s="1">
        <f t="shared" si="124"/>
        <v>0</v>
      </c>
      <c r="T436" s="1">
        <f t="shared" si="125"/>
        <v>0</v>
      </c>
      <c r="U436" s="1">
        <f t="shared" si="126"/>
        <v>0</v>
      </c>
      <c r="V436" s="1">
        <f t="shared" si="127"/>
        <v>0</v>
      </c>
      <c r="W436" s="1">
        <f t="shared" si="128"/>
        <v>0</v>
      </c>
      <c r="X436" s="1">
        <f t="shared" si="129"/>
        <v>0</v>
      </c>
      <c r="Y436" s="1">
        <f t="shared" si="130"/>
        <v>0</v>
      </c>
      <c r="Z436" s="1">
        <f t="shared" si="131"/>
        <v>0</v>
      </c>
      <c r="AA436" s="1">
        <f t="shared" si="132"/>
        <v>0</v>
      </c>
    </row>
    <row r="437" spans="12:27" x14ac:dyDescent="0.3">
      <c r="L437">
        <v>436</v>
      </c>
      <c r="M437" s="1">
        <f t="shared" si="118"/>
        <v>0</v>
      </c>
      <c r="N437" s="1">
        <f t="shared" si="119"/>
        <v>0</v>
      </c>
      <c r="O437" s="1">
        <f t="shared" si="120"/>
        <v>0</v>
      </c>
      <c r="P437" s="1">
        <f t="shared" si="121"/>
        <v>0</v>
      </c>
      <c r="Q437" s="1">
        <f t="shared" si="122"/>
        <v>0</v>
      </c>
      <c r="R437" s="1">
        <f t="shared" si="123"/>
        <v>0</v>
      </c>
      <c r="S437" s="1">
        <f t="shared" si="124"/>
        <v>0</v>
      </c>
      <c r="T437" s="1">
        <f t="shared" si="125"/>
        <v>0</v>
      </c>
      <c r="U437" s="1">
        <f t="shared" si="126"/>
        <v>0</v>
      </c>
      <c r="V437" s="1">
        <f t="shared" si="127"/>
        <v>0</v>
      </c>
      <c r="W437" s="1">
        <f t="shared" si="128"/>
        <v>0</v>
      </c>
      <c r="X437" s="1">
        <f t="shared" si="129"/>
        <v>0</v>
      </c>
      <c r="Y437" s="1">
        <f t="shared" si="130"/>
        <v>0</v>
      </c>
      <c r="Z437" s="1">
        <f t="shared" si="131"/>
        <v>0</v>
      </c>
      <c r="AA437" s="1">
        <f t="shared" si="132"/>
        <v>0</v>
      </c>
    </row>
    <row r="438" spans="12:27" x14ac:dyDescent="0.3">
      <c r="L438">
        <v>437</v>
      </c>
      <c r="M438" s="1">
        <f t="shared" si="118"/>
        <v>0</v>
      </c>
      <c r="N438" s="1">
        <f t="shared" si="119"/>
        <v>0</v>
      </c>
      <c r="O438" s="1">
        <f t="shared" si="120"/>
        <v>0</v>
      </c>
      <c r="P438" s="1">
        <f t="shared" si="121"/>
        <v>0</v>
      </c>
      <c r="Q438" s="1">
        <f t="shared" si="122"/>
        <v>0</v>
      </c>
      <c r="R438" s="1">
        <f t="shared" si="123"/>
        <v>0</v>
      </c>
      <c r="S438" s="1">
        <f t="shared" si="124"/>
        <v>0</v>
      </c>
      <c r="T438" s="1">
        <f t="shared" si="125"/>
        <v>0</v>
      </c>
      <c r="U438" s="1">
        <f t="shared" si="126"/>
        <v>0</v>
      </c>
      <c r="V438" s="1">
        <f t="shared" si="127"/>
        <v>0</v>
      </c>
      <c r="W438" s="1">
        <f t="shared" si="128"/>
        <v>0</v>
      </c>
      <c r="X438" s="1">
        <f t="shared" si="129"/>
        <v>0</v>
      </c>
      <c r="Y438" s="1">
        <f t="shared" si="130"/>
        <v>0</v>
      </c>
      <c r="Z438" s="1">
        <f t="shared" si="131"/>
        <v>0</v>
      </c>
      <c r="AA438" s="1">
        <f t="shared" si="132"/>
        <v>0</v>
      </c>
    </row>
    <row r="439" spans="12:27" x14ac:dyDescent="0.3">
      <c r="L439">
        <v>438</v>
      </c>
      <c r="M439" s="1">
        <f t="shared" si="118"/>
        <v>0</v>
      </c>
      <c r="N439" s="1">
        <f t="shared" si="119"/>
        <v>0</v>
      </c>
      <c r="O439" s="1">
        <f t="shared" si="120"/>
        <v>0</v>
      </c>
      <c r="P439" s="1">
        <f t="shared" si="121"/>
        <v>0</v>
      </c>
      <c r="Q439" s="1">
        <f t="shared" si="122"/>
        <v>0</v>
      </c>
      <c r="R439" s="1">
        <f t="shared" si="123"/>
        <v>0</v>
      </c>
      <c r="S439" s="1">
        <f t="shared" si="124"/>
        <v>0</v>
      </c>
      <c r="T439" s="1">
        <f t="shared" si="125"/>
        <v>0</v>
      </c>
      <c r="U439" s="1">
        <f t="shared" si="126"/>
        <v>0</v>
      </c>
      <c r="V439" s="1">
        <f t="shared" si="127"/>
        <v>0</v>
      </c>
      <c r="W439" s="1">
        <f t="shared" si="128"/>
        <v>0</v>
      </c>
      <c r="X439" s="1">
        <f t="shared" si="129"/>
        <v>0</v>
      </c>
      <c r="Y439" s="1">
        <f t="shared" si="130"/>
        <v>0</v>
      </c>
      <c r="Z439" s="1">
        <f t="shared" si="131"/>
        <v>0</v>
      </c>
      <c r="AA439" s="1">
        <f t="shared" si="132"/>
        <v>0</v>
      </c>
    </row>
    <row r="440" spans="12:27" x14ac:dyDescent="0.3">
      <c r="L440">
        <v>439</v>
      </c>
      <c r="M440" s="1">
        <f t="shared" si="118"/>
        <v>0</v>
      </c>
      <c r="N440" s="1">
        <f t="shared" si="119"/>
        <v>0</v>
      </c>
      <c r="O440" s="1">
        <f t="shared" si="120"/>
        <v>0</v>
      </c>
      <c r="P440" s="1">
        <f t="shared" si="121"/>
        <v>0</v>
      </c>
      <c r="Q440" s="1">
        <f t="shared" si="122"/>
        <v>0</v>
      </c>
      <c r="R440" s="1">
        <f t="shared" si="123"/>
        <v>0</v>
      </c>
      <c r="S440" s="1">
        <f t="shared" si="124"/>
        <v>0</v>
      </c>
      <c r="T440" s="1">
        <f t="shared" si="125"/>
        <v>0</v>
      </c>
      <c r="U440" s="1">
        <f t="shared" si="126"/>
        <v>0</v>
      </c>
      <c r="V440" s="1">
        <f t="shared" si="127"/>
        <v>0</v>
      </c>
      <c r="W440" s="1">
        <f t="shared" si="128"/>
        <v>0</v>
      </c>
      <c r="X440" s="1">
        <f t="shared" si="129"/>
        <v>0</v>
      </c>
      <c r="Y440" s="1">
        <f t="shared" si="130"/>
        <v>0</v>
      </c>
      <c r="Z440" s="1">
        <f t="shared" si="131"/>
        <v>0</v>
      </c>
      <c r="AA440" s="1">
        <f t="shared" si="132"/>
        <v>0</v>
      </c>
    </row>
    <row r="441" spans="12:27" x14ac:dyDescent="0.3">
      <c r="L441">
        <v>440</v>
      </c>
      <c r="M441" s="1">
        <f t="shared" si="118"/>
        <v>0</v>
      </c>
      <c r="N441" s="1">
        <f t="shared" si="119"/>
        <v>0</v>
      </c>
      <c r="O441" s="1">
        <f t="shared" si="120"/>
        <v>0</v>
      </c>
      <c r="P441" s="1">
        <f t="shared" si="121"/>
        <v>0</v>
      </c>
      <c r="Q441" s="1">
        <f t="shared" si="122"/>
        <v>0</v>
      </c>
      <c r="R441" s="1">
        <f t="shared" si="123"/>
        <v>0</v>
      </c>
      <c r="S441" s="1">
        <f t="shared" si="124"/>
        <v>0</v>
      </c>
      <c r="T441" s="1">
        <f t="shared" si="125"/>
        <v>0</v>
      </c>
      <c r="U441" s="1">
        <f t="shared" si="126"/>
        <v>0</v>
      </c>
      <c r="V441" s="1">
        <f t="shared" si="127"/>
        <v>0</v>
      </c>
      <c r="W441" s="1">
        <f t="shared" si="128"/>
        <v>0</v>
      </c>
      <c r="X441" s="1">
        <f t="shared" si="129"/>
        <v>0</v>
      </c>
      <c r="Y441" s="1">
        <f t="shared" si="130"/>
        <v>0</v>
      </c>
      <c r="Z441" s="1">
        <f t="shared" si="131"/>
        <v>0</v>
      </c>
      <c r="AA441" s="1">
        <f t="shared" si="132"/>
        <v>0</v>
      </c>
    </row>
    <row r="442" spans="12:27" x14ac:dyDescent="0.3">
      <c r="L442">
        <v>441</v>
      </c>
      <c r="M442" s="1">
        <f t="shared" si="118"/>
        <v>0</v>
      </c>
      <c r="N442" s="1">
        <f t="shared" si="119"/>
        <v>0</v>
      </c>
      <c r="O442" s="1">
        <f t="shared" si="120"/>
        <v>0</v>
      </c>
      <c r="P442" s="1">
        <f t="shared" si="121"/>
        <v>0</v>
      </c>
      <c r="Q442" s="1">
        <f t="shared" si="122"/>
        <v>0</v>
      </c>
      <c r="R442" s="1">
        <f t="shared" si="123"/>
        <v>0</v>
      </c>
      <c r="S442" s="1">
        <f t="shared" si="124"/>
        <v>0</v>
      </c>
      <c r="T442" s="1">
        <f t="shared" si="125"/>
        <v>0</v>
      </c>
      <c r="U442" s="1">
        <f t="shared" si="126"/>
        <v>0</v>
      </c>
      <c r="V442" s="1">
        <f t="shared" si="127"/>
        <v>0</v>
      </c>
      <c r="W442" s="1">
        <f t="shared" si="128"/>
        <v>0</v>
      </c>
      <c r="X442" s="1">
        <f t="shared" si="129"/>
        <v>0</v>
      </c>
      <c r="Y442" s="1">
        <f t="shared" si="130"/>
        <v>0</v>
      </c>
      <c r="Z442" s="1">
        <f t="shared" si="131"/>
        <v>0</v>
      </c>
      <c r="AA442" s="1">
        <f t="shared" si="132"/>
        <v>0</v>
      </c>
    </row>
    <row r="443" spans="12:27" x14ac:dyDescent="0.3">
      <c r="L443">
        <v>442</v>
      </c>
      <c r="M443" s="1">
        <f t="shared" si="118"/>
        <v>0</v>
      </c>
      <c r="N443" s="1">
        <f t="shared" si="119"/>
        <v>0</v>
      </c>
      <c r="O443" s="1">
        <f t="shared" si="120"/>
        <v>0</v>
      </c>
      <c r="P443" s="1">
        <f t="shared" si="121"/>
        <v>0</v>
      </c>
      <c r="Q443" s="1">
        <f t="shared" si="122"/>
        <v>0</v>
      </c>
      <c r="R443" s="1">
        <f t="shared" si="123"/>
        <v>0</v>
      </c>
      <c r="S443" s="1">
        <f t="shared" si="124"/>
        <v>0</v>
      </c>
      <c r="T443" s="1">
        <f t="shared" si="125"/>
        <v>0</v>
      </c>
      <c r="U443" s="1">
        <f t="shared" si="126"/>
        <v>0</v>
      </c>
      <c r="V443" s="1">
        <f t="shared" si="127"/>
        <v>0</v>
      </c>
      <c r="W443" s="1">
        <f t="shared" si="128"/>
        <v>0</v>
      </c>
      <c r="X443" s="1">
        <f t="shared" si="129"/>
        <v>0</v>
      </c>
      <c r="Y443" s="1">
        <f t="shared" si="130"/>
        <v>0</v>
      </c>
      <c r="Z443" s="1">
        <f t="shared" si="131"/>
        <v>0</v>
      </c>
      <c r="AA443" s="1">
        <f t="shared" si="132"/>
        <v>0</v>
      </c>
    </row>
    <row r="444" spans="12:27" x14ac:dyDescent="0.3">
      <c r="L444">
        <v>443</v>
      </c>
      <c r="M444" s="1">
        <f t="shared" si="118"/>
        <v>0</v>
      </c>
      <c r="N444" s="1">
        <f t="shared" si="119"/>
        <v>0</v>
      </c>
      <c r="O444" s="1">
        <f t="shared" si="120"/>
        <v>0</v>
      </c>
      <c r="P444" s="1">
        <f t="shared" si="121"/>
        <v>0</v>
      </c>
      <c r="Q444" s="1">
        <f t="shared" si="122"/>
        <v>0</v>
      </c>
      <c r="R444" s="1">
        <f t="shared" si="123"/>
        <v>0</v>
      </c>
      <c r="S444" s="1">
        <f t="shared" si="124"/>
        <v>0</v>
      </c>
      <c r="T444" s="1">
        <f t="shared" si="125"/>
        <v>0</v>
      </c>
      <c r="U444" s="1">
        <f t="shared" si="126"/>
        <v>0</v>
      </c>
      <c r="V444" s="1">
        <f t="shared" si="127"/>
        <v>0</v>
      </c>
      <c r="W444" s="1">
        <f t="shared" si="128"/>
        <v>0</v>
      </c>
      <c r="X444" s="1">
        <f t="shared" si="129"/>
        <v>0</v>
      </c>
      <c r="Y444" s="1">
        <f t="shared" si="130"/>
        <v>0</v>
      </c>
      <c r="Z444" s="1">
        <f t="shared" si="131"/>
        <v>0</v>
      </c>
      <c r="AA444" s="1">
        <f t="shared" si="132"/>
        <v>0</v>
      </c>
    </row>
    <row r="445" spans="12:27" x14ac:dyDescent="0.3">
      <c r="L445">
        <v>444</v>
      </c>
      <c r="M445" s="1">
        <f t="shared" si="118"/>
        <v>0</v>
      </c>
      <c r="N445" s="1">
        <f t="shared" si="119"/>
        <v>0</v>
      </c>
      <c r="O445" s="1">
        <f t="shared" si="120"/>
        <v>0</v>
      </c>
      <c r="P445" s="1">
        <f t="shared" si="121"/>
        <v>0</v>
      </c>
      <c r="Q445" s="1">
        <f t="shared" si="122"/>
        <v>0</v>
      </c>
      <c r="R445" s="1">
        <f t="shared" si="123"/>
        <v>0</v>
      </c>
      <c r="S445" s="1">
        <f t="shared" si="124"/>
        <v>0</v>
      </c>
      <c r="T445" s="1">
        <f t="shared" si="125"/>
        <v>0</v>
      </c>
      <c r="U445" s="1">
        <f t="shared" si="126"/>
        <v>0</v>
      </c>
      <c r="V445" s="1">
        <f t="shared" si="127"/>
        <v>0</v>
      </c>
      <c r="W445" s="1">
        <f t="shared" si="128"/>
        <v>0</v>
      </c>
      <c r="X445" s="1">
        <f t="shared" si="129"/>
        <v>0</v>
      </c>
      <c r="Y445" s="1">
        <f t="shared" si="130"/>
        <v>0</v>
      </c>
      <c r="Z445" s="1">
        <f t="shared" si="131"/>
        <v>0</v>
      </c>
      <c r="AA445" s="1">
        <f t="shared" si="132"/>
        <v>0</v>
      </c>
    </row>
    <row r="446" spans="12:27" x14ac:dyDescent="0.3">
      <c r="L446">
        <v>445</v>
      </c>
      <c r="M446" s="1">
        <f t="shared" si="118"/>
        <v>0</v>
      </c>
      <c r="N446" s="1">
        <f t="shared" si="119"/>
        <v>0</v>
      </c>
      <c r="O446" s="1">
        <f t="shared" si="120"/>
        <v>0</v>
      </c>
      <c r="P446" s="1">
        <f t="shared" si="121"/>
        <v>0</v>
      </c>
      <c r="Q446" s="1">
        <f t="shared" si="122"/>
        <v>0</v>
      </c>
      <c r="R446" s="1">
        <f t="shared" si="123"/>
        <v>0</v>
      </c>
      <c r="S446" s="1">
        <f t="shared" si="124"/>
        <v>0</v>
      </c>
      <c r="T446" s="1">
        <f t="shared" si="125"/>
        <v>0</v>
      </c>
      <c r="U446" s="1">
        <f t="shared" si="126"/>
        <v>0</v>
      </c>
      <c r="V446" s="1">
        <f t="shared" si="127"/>
        <v>0</v>
      </c>
      <c r="W446" s="1">
        <f t="shared" si="128"/>
        <v>0</v>
      </c>
      <c r="X446" s="1">
        <f t="shared" si="129"/>
        <v>0</v>
      </c>
      <c r="Y446" s="1">
        <f t="shared" si="130"/>
        <v>0</v>
      </c>
      <c r="Z446" s="1">
        <f t="shared" si="131"/>
        <v>0</v>
      </c>
      <c r="AA446" s="1">
        <f t="shared" si="132"/>
        <v>0</v>
      </c>
    </row>
    <row r="447" spans="12:27" x14ac:dyDescent="0.3">
      <c r="L447">
        <v>446</v>
      </c>
      <c r="M447" s="1">
        <f t="shared" si="118"/>
        <v>0</v>
      </c>
      <c r="N447" s="1">
        <f t="shared" si="119"/>
        <v>0</v>
      </c>
      <c r="O447" s="1">
        <f t="shared" si="120"/>
        <v>0</v>
      </c>
      <c r="P447" s="1">
        <f t="shared" si="121"/>
        <v>0</v>
      </c>
      <c r="Q447" s="1">
        <f t="shared" si="122"/>
        <v>0</v>
      </c>
      <c r="R447" s="1">
        <f t="shared" si="123"/>
        <v>0</v>
      </c>
      <c r="S447" s="1">
        <f t="shared" si="124"/>
        <v>0</v>
      </c>
      <c r="T447" s="1">
        <f t="shared" si="125"/>
        <v>0</v>
      </c>
      <c r="U447" s="1">
        <f t="shared" si="126"/>
        <v>0</v>
      </c>
      <c r="V447" s="1">
        <f t="shared" si="127"/>
        <v>0</v>
      </c>
      <c r="W447" s="1">
        <f t="shared" si="128"/>
        <v>0</v>
      </c>
      <c r="X447" s="1">
        <f t="shared" si="129"/>
        <v>0</v>
      </c>
      <c r="Y447" s="1">
        <f t="shared" si="130"/>
        <v>0</v>
      </c>
      <c r="Z447" s="1">
        <f t="shared" si="131"/>
        <v>0</v>
      </c>
      <c r="AA447" s="1">
        <f t="shared" si="132"/>
        <v>0</v>
      </c>
    </row>
    <row r="448" spans="12:27" x14ac:dyDescent="0.3">
      <c r="L448">
        <v>447</v>
      </c>
      <c r="M448" s="1">
        <f t="shared" si="118"/>
        <v>0</v>
      </c>
      <c r="N448" s="1">
        <f t="shared" si="119"/>
        <v>0</v>
      </c>
      <c r="O448" s="1">
        <f t="shared" si="120"/>
        <v>0</v>
      </c>
      <c r="P448" s="1">
        <f t="shared" si="121"/>
        <v>0</v>
      </c>
      <c r="Q448" s="1">
        <f t="shared" si="122"/>
        <v>0</v>
      </c>
      <c r="R448" s="1">
        <f t="shared" si="123"/>
        <v>0</v>
      </c>
      <c r="S448" s="1">
        <f t="shared" si="124"/>
        <v>0</v>
      </c>
      <c r="T448" s="1">
        <f t="shared" si="125"/>
        <v>0</v>
      </c>
      <c r="U448" s="1">
        <f t="shared" si="126"/>
        <v>0</v>
      </c>
      <c r="V448" s="1">
        <f t="shared" si="127"/>
        <v>0</v>
      </c>
      <c r="W448" s="1">
        <f t="shared" si="128"/>
        <v>0</v>
      </c>
      <c r="X448" s="1">
        <f t="shared" si="129"/>
        <v>0</v>
      </c>
      <c r="Y448" s="1">
        <f t="shared" si="130"/>
        <v>0</v>
      </c>
      <c r="Z448" s="1">
        <f t="shared" si="131"/>
        <v>0</v>
      </c>
      <c r="AA448" s="1">
        <f t="shared" si="132"/>
        <v>0</v>
      </c>
    </row>
    <row r="449" spans="12:27" x14ac:dyDescent="0.3">
      <c r="L449">
        <v>448</v>
      </c>
      <c r="M449" s="1">
        <f t="shared" si="118"/>
        <v>0</v>
      </c>
      <c r="N449" s="1">
        <f t="shared" si="119"/>
        <v>0</v>
      </c>
      <c r="O449" s="1">
        <f t="shared" si="120"/>
        <v>0</v>
      </c>
      <c r="P449" s="1">
        <f t="shared" si="121"/>
        <v>0</v>
      </c>
      <c r="Q449" s="1">
        <f t="shared" si="122"/>
        <v>0</v>
      </c>
      <c r="R449" s="1">
        <f t="shared" si="123"/>
        <v>0</v>
      </c>
      <c r="S449" s="1">
        <f t="shared" si="124"/>
        <v>0</v>
      </c>
      <c r="T449" s="1">
        <f t="shared" si="125"/>
        <v>0</v>
      </c>
      <c r="U449" s="1">
        <f t="shared" si="126"/>
        <v>0</v>
      </c>
      <c r="V449" s="1">
        <f t="shared" si="127"/>
        <v>0</v>
      </c>
      <c r="W449" s="1">
        <f t="shared" si="128"/>
        <v>0</v>
      </c>
      <c r="X449" s="1">
        <f t="shared" si="129"/>
        <v>0</v>
      </c>
      <c r="Y449" s="1">
        <f t="shared" si="130"/>
        <v>0</v>
      </c>
      <c r="Z449" s="1">
        <f t="shared" si="131"/>
        <v>0</v>
      </c>
      <c r="AA449" s="1">
        <f t="shared" si="132"/>
        <v>0</v>
      </c>
    </row>
    <row r="450" spans="12:27" x14ac:dyDescent="0.3">
      <c r="L450">
        <v>449</v>
      </c>
      <c r="M450" s="1">
        <f t="shared" si="118"/>
        <v>0</v>
      </c>
      <c r="N450" s="1">
        <f t="shared" si="119"/>
        <v>0</v>
      </c>
      <c r="O450" s="1">
        <f t="shared" si="120"/>
        <v>0</v>
      </c>
      <c r="P450" s="1">
        <f t="shared" si="121"/>
        <v>0</v>
      </c>
      <c r="Q450" s="1">
        <f t="shared" si="122"/>
        <v>0</v>
      </c>
      <c r="R450" s="1">
        <f t="shared" si="123"/>
        <v>0</v>
      </c>
      <c r="S450" s="1">
        <f t="shared" si="124"/>
        <v>0</v>
      </c>
      <c r="T450" s="1">
        <f t="shared" si="125"/>
        <v>0</v>
      </c>
      <c r="U450" s="1">
        <f t="shared" si="126"/>
        <v>0</v>
      </c>
      <c r="V450" s="1">
        <f t="shared" si="127"/>
        <v>0</v>
      </c>
      <c r="W450" s="1">
        <f t="shared" si="128"/>
        <v>0</v>
      </c>
      <c r="X450" s="1">
        <f t="shared" si="129"/>
        <v>0</v>
      </c>
      <c r="Y450" s="1">
        <f t="shared" si="130"/>
        <v>0</v>
      </c>
      <c r="Z450" s="1">
        <f t="shared" si="131"/>
        <v>0</v>
      </c>
      <c r="AA450" s="1">
        <f t="shared" si="132"/>
        <v>0</v>
      </c>
    </row>
    <row r="451" spans="12:27" x14ac:dyDescent="0.3">
      <c r="L451">
        <v>450</v>
      </c>
      <c r="M451" s="1">
        <f t="shared" si="118"/>
        <v>0</v>
      </c>
      <c r="N451" s="1">
        <f t="shared" si="119"/>
        <v>0</v>
      </c>
      <c r="O451" s="1">
        <f t="shared" si="120"/>
        <v>0</v>
      </c>
      <c r="P451" s="1">
        <f t="shared" si="121"/>
        <v>0</v>
      </c>
      <c r="Q451" s="1">
        <f t="shared" si="122"/>
        <v>0</v>
      </c>
      <c r="R451" s="1">
        <f t="shared" si="123"/>
        <v>0</v>
      </c>
      <c r="S451" s="1">
        <f t="shared" si="124"/>
        <v>0</v>
      </c>
      <c r="T451" s="1">
        <f t="shared" si="125"/>
        <v>0</v>
      </c>
      <c r="U451" s="1">
        <f t="shared" si="126"/>
        <v>0</v>
      </c>
      <c r="V451" s="1">
        <f t="shared" si="127"/>
        <v>0</v>
      </c>
      <c r="W451" s="1">
        <f t="shared" si="128"/>
        <v>0</v>
      </c>
      <c r="X451" s="1">
        <f t="shared" si="129"/>
        <v>0</v>
      </c>
      <c r="Y451" s="1">
        <f t="shared" si="130"/>
        <v>0</v>
      </c>
      <c r="Z451" s="1">
        <f t="shared" si="131"/>
        <v>0</v>
      </c>
      <c r="AA451" s="1">
        <f t="shared" si="132"/>
        <v>0</v>
      </c>
    </row>
    <row r="452" spans="12:27" x14ac:dyDescent="0.3">
      <c r="L452">
        <v>451</v>
      </c>
      <c r="M452" s="1">
        <f t="shared" si="118"/>
        <v>0</v>
      </c>
      <c r="N452" s="1">
        <f t="shared" si="119"/>
        <v>0</v>
      </c>
      <c r="O452" s="1">
        <f t="shared" si="120"/>
        <v>0</v>
      </c>
      <c r="P452" s="1">
        <f t="shared" si="121"/>
        <v>0</v>
      </c>
      <c r="Q452" s="1">
        <f t="shared" si="122"/>
        <v>0</v>
      </c>
      <c r="R452" s="1">
        <f t="shared" si="123"/>
        <v>0</v>
      </c>
      <c r="S452" s="1">
        <f t="shared" si="124"/>
        <v>0</v>
      </c>
      <c r="T452" s="1">
        <f t="shared" si="125"/>
        <v>0</v>
      </c>
      <c r="U452" s="1">
        <f t="shared" si="126"/>
        <v>0</v>
      </c>
      <c r="V452" s="1">
        <f t="shared" si="127"/>
        <v>0</v>
      </c>
      <c r="W452" s="1">
        <f t="shared" si="128"/>
        <v>0</v>
      </c>
      <c r="X452" s="1">
        <f t="shared" si="129"/>
        <v>0</v>
      </c>
      <c r="Y452" s="1">
        <f t="shared" si="130"/>
        <v>0</v>
      </c>
      <c r="Z452" s="1">
        <f t="shared" si="131"/>
        <v>0</v>
      </c>
      <c r="AA452" s="1">
        <f t="shared" si="132"/>
        <v>0</v>
      </c>
    </row>
    <row r="453" spans="12:27" x14ac:dyDescent="0.3">
      <c r="L453">
        <v>452</v>
      </c>
      <c r="M453" s="1">
        <f t="shared" si="118"/>
        <v>0</v>
      </c>
      <c r="N453" s="1">
        <f t="shared" si="119"/>
        <v>0</v>
      </c>
      <c r="O453" s="1">
        <f t="shared" si="120"/>
        <v>0</v>
      </c>
      <c r="P453" s="1">
        <f t="shared" si="121"/>
        <v>0</v>
      </c>
      <c r="Q453" s="1">
        <f t="shared" si="122"/>
        <v>0</v>
      </c>
      <c r="R453" s="1">
        <f t="shared" si="123"/>
        <v>0</v>
      </c>
      <c r="S453" s="1">
        <f t="shared" si="124"/>
        <v>0</v>
      </c>
      <c r="T453" s="1">
        <f t="shared" si="125"/>
        <v>0</v>
      </c>
      <c r="U453" s="1">
        <f t="shared" si="126"/>
        <v>0</v>
      </c>
      <c r="V453" s="1">
        <f t="shared" si="127"/>
        <v>0</v>
      </c>
      <c r="W453" s="1">
        <f t="shared" si="128"/>
        <v>0</v>
      </c>
      <c r="X453" s="1">
        <f t="shared" si="129"/>
        <v>0</v>
      </c>
      <c r="Y453" s="1">
        <f t="shared" si="130"/>
        <v>0</v>
      </c>
      <c r="Z453" s="1">
        <f t="shared" si="131"/>
        <v>0</v>
      </c>
      <c r="AA453" s="1">
        <f t="shared" si="132"/>
        <v>0</v>
      </c>
    </row>
    <row r="454" spans="12:27" x14ac:dyDescent="0.3">
      <c r="L454">
        <v>453</v>
      </c>
      <c r="M454" s="1">
        <f t="shared" si="118"/>
        <v>0</v>
      </c>
      <c r="N454" s="1">
        <f t="shared" si="119"/>
        <v>0</v>
      </c>
      <c r="O454" s="1">
        <f t="shared" si="120"/>
        <v>0</v>
      </c>
      <c r="P454" s="1">
        <f t="shared" si="121"/>
        <v>0</v>
      </c>
      <c r="Q454" s="1">
        <f t="shared" si="122"/>
        <v>0</v>
      </c>
      <c r="R454" s="1">
        <f t="shared" si="123"/>
        <v>0</v>
      </c>
      <c r="S454" s="1">
        <f t="shared" si="124"/>
        <v>0</v>
      </c>
      <c r="T454" s="1">
        <f t="shared" si="125"/>
        <v>0</v>
      </c>
      <c r="U454" s="1">
        <f t="shared" si="126"/>
        <v>0</v>
      </c>
      <c r="V454" s="1">
        <f t="shared" si="127"/>
        <v>0</v>
      </c>
      <c r="W454" s="1">
        <f t="shared" si="128"/>
        <v>0</v>
      </c>
      <c r="X454" s="1">
        <f t="shared" si="129"/>
        <v>0</v>
      </c>
      <c r="Y454" s="1">
        <f t="shared" si="130"/>
        <v>0</v>
      </c>
      <c r="Z454" s="1">
        <f t="shared" si="131"/>
        <v>0</v>
      </c>
      <c r="AA454" s="1">
        <f t="shared" si="132"/>
        <v>0</v>
      </c>
    </row>
    <row r="455" spans="12:27" x14ac:dyDescent="0.3">
      <c r="L455">
        <v>454</v>
      </c>
      <c r="M455" s="1">
        <f t="shared" si="118"/>
        <v>0</v>
      </c>
      <c r="N455" s="1">
        <f t="shared" si="119"/>
        <v>0</v>
      </c>
      <c r="O455" s="1">
        <f t="shared" si="120"/>
        <v>0</v>
      </c>
      <c r="P455" s="1">
        <f t="shared" si="121"/>
        <v>0</v>
      </c>
      <c r="Q455" s="1">
        <f t="shared" si="122"/>
        <v>0</v>
      </c>
      <c r="R455" s="1">
        <f t="shared" si="123"/>
        <v>0</v>
      </c>
      <c r="S455" s="1">
        <f t="shared" si="124"/>
        <v>0</v>
      </c>
      <c r="T455" s="1">
        <f t="shared" si="125"/>
        <v>0</v>
      </c>
      <c r="U455" s="1">
        <f t="shared" si="126"/>
        <v>0</v>
      </c>
      <c r="V455" s="1">
        <f t="shared" si="127"/>
        <v>0</v>
      </c>
      <c r="W455" s="1">
        <f t="shared" si="128"/>
        <v>0</v>
      </c>
      <c r="X455" s="1">
        <f t="shared" si="129"/>
        <v>0</v>
      </c>
      <c r="Y455" s="1">
        <f t="shared" si="130"/>
        <v>0</v>
      </c>
      <c r="Z455" s="1">
        <f t="shared" si="131"/>
        <v>0</v>
      </c>
      <c r="AA455" s="1">
        <f t="shared" si="132"/>
        <v>0</v>
      </c>
    </row>
    <row r="456" spans="12:27" x14ac:dyDescent="0.3">
      <c r="L456">
        <v>455</v>
      </c>
      <c r="M456" s="1">
        <f t="shared" si="118"/>
        <v>0</v>
      </c>
      <c r="N456" s="1">
        <f t="shared" si="119"/>
        <v>0</v>
      </c>
      <c r="O456" s="1">
        <f t="shared" si="120"/>
        <v>0</v>
      </c>
      <c r="P456" s="1">
        <f t="shared" si="121"/>
        <v>0</v>
      </c>
      <c r="Q456" s="1">
        <f t="shared" si="122"/>
        <v>0</v>
      </c>
      <c r="R456" s="1">
        <f t="shared" si="123"/>
        <v>0</v>
      </c>
      <c r="S456" s="1">
        <f t="shared" si="124"/>
        <v>0</v>
      </c>
      <c r="T456" s="1">
        <f t="shared" si="125"/>
        <v>0</v>
      </c>
      <c r="U456" s="1">
        <f t="shared" si="126"/>
        <v>0</v>
      </c>
      <c r="V456" s="1">
        <f t="shared" si="127"/>
        <v>0</v>
      </c>
      <c r="W456" s="1">
        <f t="shared" si="128"/>
        <v>0</v>
      </c>
      <c r="X456" s="1">
        <f t="shared" si="129"/>
        <v>0</v>
      </c>
      <c r="Y456" s="1">
        <f t="shared" si="130"/>
        <v>0</v>
      </c>
      <c r="Z456" s="1">
        <f t="shared" si="131"/>
        <v>0</v>
      </c>
      <c r="AA456" s="1">
        <f t="shared" si="132"/>
        <v>0</v>
      </c>
    </row>
    <row r="457" spans="12:27" x14ac:dyDescent="0.3">
      <c r="L457">
        <v>456</v>
      </c>
      <c r="M457" s="1">
        <f t="shared" si="118"/>
        <v>0</v>
      </c>
      <c r="N457" s="1">
        <f t="shared" si="119"/>
        <v>0</v>
      </c>
      <c r="O457" s="1">
        <f t="shared" si="120"/>
        <v>0</v>
      </c>
      <c r="P457" s="1">
        <f t="shared" si="121"/>
        <v>0</v>
      </c>
      <c r="Q457" s="1">
        <f t="shared" si="122"/>
        <v>0</v>
      </c>
      <c r="R457" s="1">
        <f t="shared" si="123"/>
        <v>0</v>
      </c>
      <c r="S457" s="1">
        <f t="shared" si="124"/>
        <v>0</v>
      </c>
      <c r="T457" s="1">
        <f t="shared" si="125"/>
        <v>0</v>
      </c>
      <c r="U457" s="1">
        <f t="shared" si="126"/>
        <v>0</v>
      </c>
      <c r="V457" s="1">
        <f t="shared" si="127"/>
        <v>0</v>
      </c>
      <c r="W457" s="1">
        <f t="shared" si="128"/>
        <v>0</v>
      </c>
      <c r="X457" s="1">
        <f t="shared" si="129"/>
        <v>0</v>
      </c>
      <c r="Y457" s="1">
        <f t="shared" si="130"/>
        <v>0</v>
      </c>
      <c r="Z457" s="1">
        <f t="shared" si="131"/>
        <v>0</v>
      </c>
      <c r="AA457" s="1">
        <f t="shared" si="132"/>
        <v>0</v>
      </c>
    </row>
    <row r="458" spans="12:27" x14ac:dyDescent="0.3">
      <c r="L458">
        <v>457</v>
      </c>
      <c r="M458" s="1">
        <f t="shared" si="118"/>
        <v>0</v>
      </c>
      <c r="N458" s="1">
        <f t="shared" si="119"/>
        <v>0</v>
      </c>
      <c r="O458" s="1">
        <f t="shared" si="120"/>
        <v>0</v>
      </c>
      <c r="P458" s="1">
        <f t="shared" si="121"/>
        <v>0</v>
      </c>
      <c r="Q458" s="1">
        <f t="shared" si="122"/>
        <v>0</v>
      </c>
      <c r="R458" s="1">
        <f t="shared" si="123"/>
        <v>0</v>
      </c>
      <c r="S458" s="1">
        <f t="shared" si="124"/>
        <v>0</v>
      </c>
      <c r="T458" s="1">
        <f t="shared" si="125"/>
        <v>0</v>
      </c>
      <c r="U458" s="1">
        <f t="shared" si="126"/>
        <v>0</v>
      </c>
      <c r="V458" s="1">
        <f t="shared" si="127"/>
        <v>0</v>
      </c>
      <c r="W458" s="1">
        <f t="shared" si="128"/>
        <v>0</v>
      </c>
      <c r="X458" s="1">
        <f t="shared" si="129"/>
        <v>0</v>
      </c>
      <c r="Y458" s="1">
        <f t="shared" si="130"/>
        <v>0</v>
      </c>
      <c r="Z458" s="1">
        <f t="shared" si="131"/>
        <v>0</v>
      </c>
      <c r="AA458" s="1">
        <f t="shared" si="132"/>
        <v>0</v>
      </c>
    </row>
    <row r="459" spans="12:27" x14ac:dyDescent="0.3">
      <c r="L459">
        <v>458</v>
      </c>
      <c r="M459" s="1">
        <f t="shared" si="118"/>
        <v>0</v>
      </c>
      <c r="N459" s="1">
        <f t="shared" si="119"/>
        <v>0</v>
      </c>
      <c r="O459" s="1">
        <f t="shared" si="120"/>
        <v>0</v>
      </c>
      <c r="P459" s="1">
        <f t="shared" si="121"/>
        <v>0</v>
      </c>
      <c r="Q459" s="1">
        <f t="shared" si="122"/>
        <v>0</v>
      </c>
      <c r="R459" s="1">
        <f t="shared" si="123"/>
        <v>0</v>
      </c>
      <c r="S459" s="1">
        <f t="shared" si="124"/>
        <v>0</v>
      </c>
      <c r="T459" s="1">
        <f t="shared" si="125"/>
        <v>0</v>
      </c>
      <c r="U459" s="1">
        <f t="shared" si="126"/>
        <v>0</v>
      </c>
      <c r="V459" s="1">
        <f t="shared" si="127"/>
        <v>0</v>
      </c>
      <c r="W459" s="1">
        <f t="shared" si="128"/>
        <v>0</v>
      </c>
      <c r="X459" s="1">
        <f t="shared" si="129"/>
        <v>0</v>
      </c>
      <c r="Y459" s="1">
        <f t="shared" si="130"/>
        <v>0</v>
      </c>
      <c r="Z459" s="1">
        <f t="shared" si="131"/>
        <v>0</v>
      </c>
      <c r="AA459" s="1">
        <f t="shared" si="132"/>
        <v>0</v>
      </c>
    </row>
    <row r="460" spans="12:27" x14ac:dyDescent="0.3">
      <c r="L460">
        <v>459</v>
      </c>
      <c r="M460" s="1">
        <f t="shared" si="118"/>
        <v>0</v>
      </c>
      <c r="N460" s="1">
        <f t="shared" si="119"/>
        <v>0</v>
      </c>
      <c r="O460" s="1">
        <f t="shared" si="120"/>
        <v>0</v>
      </c>
      <c r="P460" s="1">
        <f t="shared" si="121"/>
        <v>0</v>
      </c>
      <c r="Q460" s="1">
        <f t="shared" si="122"/>
        <v>0</v>
      </c>
      <c r="R460" s="1">
        <f t="shared" si="123"/>
        <v>0</v>
      </c>
      <c r="S460" s="1">
        <f t="shared" si="124"/>
        <v>0</v>
      </c>
      <c r="T460" s="1">
        <f t="shared" si="125"/>
        <v>0</v>
      </c>
      <c r="U460" s="1">
        <f t="shared" si="126"/>
        <v>0</v>
      </c>
      <c r="V460" s="1">
        <f t="shared" si="127"/>
        <v>0</v>
      </c>
      <c r="W460" s="1">
        <f t="shared" si="128"/>
        <v>0</v>
      </c>
      <c r="X460" s="1">
        <f t="shared" si="129"/>
        <v>0</v>
      </c>
      <c r="Y460" s="1">
        <f t="shared" si="130"/>
        <v>0</v>
      </c>
      <c r="Z460" s="1">
        <f t="shared" si="131"/>
        <v>0</v>
      </c>
      <c r="AA460" s="1">
        <f t="shared" si="132"/>
        <v>0</v>
      </c>
    </row>
    <row r="461" spans="12:27" x14ac:dyDescent="0.3">
      <c r="L461">
        <v>460</v>
      </c>
      <c r="M461" s="1">
        <f t="shared" si="118"/>
        <v>0</v>
      </c>
      <c r="N461" s="1">
        <f t="shared" si="119"/>
        <v>0</v>
      </c>
      <c r="O461" s="1">
        <f t="shared" si="120"/>
        <v>0</v>
      </c>
      <c r="P461" s="1">
        <f t="shared" si="121"/>
        <v>0</v>
      </c>
      <c r="Q461" s="1">
        <f t="shared" si="122"/>
        <v>0</v>
      </c>
      <c r="R461" s="1">
        <f t="shared" si="123"/>
        <v>0</v>
      </c>
      <c r="S461" s="1">
        <f t="shared" si="124"/>
        <v>0</v>
      </c>
      <c r="T461" s="1">
        <f t="shared" si="125"/>
        <v>0</v>
      </c>
      <c r="U461" s="1">
        <f t="shared" si="126"/>
        <v>0</v>
      </c>
      <c r="V461" s="1">
        <f t="shared" si="127"/>
        <v>0</v>
      </c>
      <c r="W461" s="1">
        <f t="shared" si="128"/>
        <v>0</v>
      </c>
      <c r="X461" s="1">
        <f t="shared" si="129"/>
        <v>0</v>
      </c>
      <c r="Y461" s="1">
        <f t="shared" si="130"/>
        <v>0</v>
      </c>
      <c r="Z461" s="1">
        <f t="shared" si="131"/>
        <v>0</v>
      </c>
      <c r="AA461" s="1">
        <f t="shared" si="132"/>
        <v>0</v>
      </c>
    </row>
    <row r="462" spans="12:27" x14ac:dyDescent="0.3">
      <c r="L462">
        <v>461</v>
      </c>
      <c r="M462" s="1">
        <f t="shared" si="118"/>
        <v>0</v>
      </c>
      <c r="N462" s="1">
        <f t="shared" si="119"/>
        <v>0</v>
      </c>
      <c r="O462" s="1">
        <f t="shared" si="120"/>
        <v>0</v>
      </c>
      <c r="P462" s="1">
        <f t="shared" si="121"/>
        <v>0</v>
      </c>
      <c r="Q462" s="1">
        <f t="shared" si="122"/>
        <v>0</v>
      </c>
      <c r="R462" s="1">
        <f t="shared" si="123"/>
        <v>0</v>
      </c>
      <c r="S462" s="1">
        <f t="shared" si="124"/>
        <v>0</v>
      </c>
      <c r="T462" s="1">
        <f t="shared" si="125"/>
        <v>0</v>
      </c>
      <c r="U462" s="1">
        <f t="shared" si="126"/>
        <v>0</v>
      </c>
      <c r="V462" s="1">
        <f t="shared" si="127"/>
        <v>0</v>
      </c>
      <c r="W462" s="1">
        <f t="shared" si="128"/>
        <v>0</v>
      </c>
      <c r="X462" s="1">
        <f t="shared" si="129"/>
        <v>0</v>
      </c>
      <c r="Y462" s="1">
        <f t="shared" si="130"/>
        <v>0</v>
      </c>
      <c r="Z462" s="1">
        <f t="shared" si="131"/>
        <v>0</v>
      </c>
      <c r="AA462" s="1">
        <f t="shared" si="132"/>
        <v>0</v>
      </c>
    </row>
    <row r="463" spans="12:27" x14ac:dyDescent="0.3">
      <c r="L463">
        <v>462</v>
      </c>
      <c r="M463" s="1">
        <f t="shared" ref="M463:M486" si="133">IF(OR(kcjd&lt;jdplant1,kcjd&gt;jdplant1+C$21),0,kc.ini.1)</f>
        <v>0</v>
      </c>
      <c r="N463" s="1">
        <f t="shared" ref="N463:N486" si="134">IF(OR(kcjd&lt;jdplant1+C$21,kcjd&gt;jdplant1+SUM(C$21,D$21)),0,+H$21+(kcjd-(jdplant1+C$21))/(jdplant1+SUM(C$21,D$21)-(jdplant1+C$21))*(I$21-H$21))</f>
        <v>0</v>
      </c>
      <c r="O463" s="1">
        <f t="shared" ref="O463:O486" si="135">IF(OR(kcjd&lt;jdplant1+SUM(C$21,D$21),kcjd&gt;jdplant1+SUM(C$21,D$21,E$21)),0,kc.mid.1)</f>
        <v>0</v>
      </c>
      <c r="P463" s="1">
        <f t="shared" ref="P463:P486" si="136">IF(OR(kcjd&lt;jdplant1+SUM(C$21:E$21),kcjd&gt;jdplant1+G$21),0,+I$21-(kcjd-(jdplant1+SUM(C$21:E$21)))/((jdplant1+G$21)-(jdplant1+SUM(C$21:E$21)))*(I$21-J$21))</f>
        <v>0</v>
      </c>
      <c r="Q463" s="1">
        <f t="shared" si="122"/>
        <v>0</v>
      </c>
      <c r="R463" s="1">
        <f t="shared" ref="R463:R486" si="137">IF(OR(kcjd&lt;jdplant2,kcjd&gt;jdplant2+$C$22),0,kc.ini.2)</f>
        <v>0</v>
      </c>
      <c r="S463" s="1">
        <f t="shared" ref="S463:S486" si="138">IF(OR(kcjd&lt;jdplant2+$C$22,kcjd&gt;jdplant2+SUM($C$22,$D$22)),0,+kc.ini.2+(kcjd-(jdplant2+$C$22))/(jdplant2+SUM($C$22,$D$22)-(jdplant2+$C$22))*(kc.mid.2-kc.ini.2))</f>
        <v>0</v>
      </c>
      <c r="T463" s="1">
        <f t="shared" ref="T463:T486" si="139">IF(OR(kcjd&lt;jdplant2+SUM($C$22,$D$22),kcjd&gt;jdplant2+SUM($C$22,$D$22,$E$22)),0,kc.mid.2)</f>
        <v>0</v>
      </c>
      <c r="U463" s="1">
        <f t="shared" ref="U463:U486" si="140">IF(OR(kcjd&lt;jdplant2+SUM($C$22:$E$22),kcjd&gt;jdplant2+$G$22),0,+kc.mid.2-(kcjd-(jdplant2+SUM($C$22:$E$22)))/((jdplant2+$G$22)-(jdplant2+SUM($C$22:$E$22)))*(kc.mid.2-kc.late.2))</f>
        <v>0</v>
      </c>
      <c r="V463" s="1">
        <f t="shared" si="127"/>
        <v>0</v>
      </c>
      <c r="W463" s="1">
        <f t="shared" ref="W463:W486" si="141">IF(OR(kcjd&lt;jdplant3,kcjd&gt;jdplant3+$C$23),0,kc.ini.3)</f>
        <v>0</v>
      </c>
      <c r="X463" s="1">
        <f t="shared" ref="X463:X486" si="142">IF(OR(kcjd&lt;jdplant3+$C$23,kcjd&gt;jdplant3+SUM($C$23,$D$23)),0,+kc.ini.3+(kcjd-(jdplant3+$C$23))/(jdplant3+SUM($C$23,$D$23)-(jdplant3+$C$23))*(kc.mid.3-kc.ini.3))</f>
        <v>0</v>
      </c>
      <c r="Y463" s="1">
        <f t="shared" ref="Y463:Y486" si="143">IF(OR(kcjd&lt;jdplant3+SUM($C$23,$D$23),kcjd&gt;jdplant3+SUM($C$23,$D$23,$E$23)),0,kc.mid.3)</f>
        <v>0</v>
      </c>
      <c r="Z463" s="1">
        <f t="shared" ref="Z463:Z486" si="144">IF(OR(kcjd&lt;jdplant3+SUM($C$23:$E$23),kcjd&gt;jdplant3+$G$23),0,+kc.mid.3-(kcjd-(jdplant3+SUM($C$23:$E$23)))/((jdplant3+$G$23)-(jdplant3+SUM($C$23:$E$23)))*(kc.mid.3-kc.late.3))</f>
        <v>0</v>
      </c>
      <c r="AA463" s="1">
        <f t="shared" si="132"/>
        <v>0</v>
      </c>
    </row>
    <row r="464" spans="12:27" x14ac:dyDescent="0.3">
      <c r="L464">
        <v>463</v>
      </c>
      <c r="M464" s="1">
        <f t="shared" si="133"/>
        <v>0</v>
      </c>
      <c r="N464" s="1">
        <f t="shared" si="134"/>
        <v>0</v>
      </c>
      <c r="O464" s="1">
        <f t="shared" si="135"/>
        <v>0</v>
      </c>
      <c r="P464" s="1">
        <f t="shared" si="136"/>
        <v>0</v>
      </c>
      <c r="Q464" s="1">
        <f t="shared" si="122"/>
        <v>0</v>
      </c>
      <c r="R464" s="1">
        <f t="shared" si="137"/>
        <v>0</v>
      </c>
      <c r="S464" s="1">
        <f t="shared" si="138"/>
        <v>0</v>
      </c>
      <c r="T464" s="1">
        <f t="shared" si="139"/>
        <v>0</v>
      </c>
      <c r="U464" s="1">
        <f t="shared" si="140"/>
        <v>0</v>
      </c>
      <c r="V464" s="1">
        <f t="shared" si="127"/>
        <v>0</v>
      </c>
      <c r="W464" s="1">
        <f t="shared" si="141"/>
        <v>0</v>
      </c>
      <c r="X464" s="1">
        <f t="shared" si="142"/>
        <v>0</v>
      </c>
      <c r="Y464" s="1">
        <f t="shared" si="143"/>
        <v>0</v>
      </c>
      <c r="Z464" s="1">
        <f t="shared" si="144"/>
        <v>0</v>
      </c>
      <c r="AA464" s="1">
        <f t="shared" si="132"/>
        <v>0</v>
      </c>
    </row>
    <row r="465" spans="12:27" x14ac:dyDescent="0.3">
      <c r="L465">
        <v>464</v>
      </c>
      <c r="M465" s="1">
        <f t="shared" si="133"/>
        <v>0</v>
      </c>
      <c r="N465" s="1">
        <f t="shared" si="134"/>
        <v>0</v>
      </c>
      <c r="O465" s="1">
        <f t="shared" si="135"/>
        <v>0</v>
      </c>
      <c r="P465" s="1">
        <f t="shared" si="136"/>
        <v>0</v>
      </c>
      <c r="Q465" s="1">
        <f t="shared" si="122"/>
        <v>0</v>
      </c>
      <c r="R465" s="1">
        <f t="shared" si="137"/>
        <v>0</v>
      </c>
      <c r="S465" s="1">
        <f t="shared" si="138"/>
        <v>0</v>
      </c>
      <c r="T465" s="1">
        <f t="shared" si="139"/>
        <v>0</v>
      </c>
      <c r="U465" s="1">
        <f t="shared" si="140"/>
        <v>0</v>
      </c>
      <c r="V465" s="1">
        <f t="shared" si="127"/>
        <v>0</v>
      </c>
      <c r="W465" s="1">
        <f t="shared" si="141"/>
        <v>0</v>
      </c>
      <c r="X465" s="1">
        <f t="shared" si="142"/>
        <v>0</v>
      </c>
      <c r="Y465" s="1">
        <f t="shared" si="143"/>
        <v>0</v>
      </c>
      <c r="Z465" s="1">
        <f t="shared" si="144"/>
        <v>0</v>
      </c>
      <c r="AA465" s="1">
        <f t="shared" si="132"/>
        <v>0</v>
      </c>
    </row>
    <row r="466" spans="12:27" x14ac:dyDescent="0.3">
      <c r="L466">
        <v>465</v>
      </c>
      <c r="M466" s="1">
        <f t="shared" si="133"/>
        <v>0</v>
      </c>
      <c r="N466" s="1">
        <f t="shared" si="134"/>
        <v>0</v>
      </c>
      <c r="O466" s="1">
        <f t="shared" si="135"/>
        <v>0</v>
      </c>
      <c r="P466" s="1">
        <f t="shared" si="136"/>
        <v>0</v>
      </c>
      <c r="Q466" s="1">
        <f t="shared" si="122"/>
        <v>0</v>
      </c>
      <c r="R466" s="1">
        <f t="shared" si="137"/>
        <v>0</v>
      </c>
      <c r="S466" s="1">
        <f t="shared" si="138"/>
        <v>0</v>
      </c>
      <c r="T466" s="1">
        <f t="shared" si="139"/>
        <v>0</v>
      </c>
      <c r="U466" s="1">
        <f t="shared" si="140"/>
        <v>0</v>
      </c>
      <c r="V466" s="1">
        <f t="shared" si="127"/>
        <v>0</v>
      </c>
      <c r="W466" s="1">
        <f t="shared" si="141"/>
        <v>0</v>
      </c>
      <c r="X466" s="1">
        <f t="shared" si="142"/>
        <v>0</v>
      </c>
      <c r="Y466" s="1">
        <f t="shared" si="143"/>
        <v>0</v>
      </c>
      <c r="Z466" s="1">
        <f t="shared" si="144"/>
        <v>0</v>
      </c>
      <c r="AA466" s="1">
        <f t="shared" si="132"/>
        <v>0</v>
      </c>
    </row>
    <row r="467" spans="12:27" x14ac:dyDescent="0.3">
      <c r="L467">
        <v>466</v>
      </c>
      <c r="M467" s="1">
        <f t="shared" si="133"/>
        <v>0</v>
      </c>
      <c r="N467" s="1">
        <f t="shared" si="134"/>
        <v>0</v>
      </c>
      <c r="O467" s="1">
        <f t="shared" si="135"/>
        <v>0</v>
      </c>
      <c r="P467" s="1">
        <f t="shared" si="136"/>
        <v>0</v>
      </c>
      <c r="Q467" s="1">
        <f t="shared" si="122"/>
        <v>0</v>
      </c>
      <c r="R467" s="1">
        <f t="shared" si="137"/>
        <v>0</v>
      </c>
      <c r="S467" s="1">
        <f t="shared" si="138"/>
        <v>0</v>
      </c>
      <c r="T467" s="1">
        <f t="shared" si="139"/>
        <v>0</v>
      </c>
      <c r="U467" s="1">
        <f t="shared" si="140"/>
        <v>0</v>
      </c>
      <c r="V467" s="1">
        <f t="shared" si="127"/>
        <v>0</v>
      </c>
      <c r="W467" s="1">
        <f t="shared" si="141"/>
        <v>0</v>
      </c>
      <c r="X467" s="1">
        <f t="shared" si="142"/>
        <v>0</v>
      </c>
      <c r="Y467" s="1">
        <f t="shared" si="143"/>
        <v>0</v>
      </c>
      <c r="Z467" s="1">
        <f t="shared" si="144"/>
        <v>0</v>
      </c>
      <c r="AA467" s="1">
        <f t="shared" si="132"/>
        <v>0</v>
      </c>
    </row>
    <row r="468" spans="12:27" x14ac:dyDescent="0.3">
      <c r="L468">
        <v>467</v>
      </c>
      <c r="M468" s="1">
        <f t="shared" si="133"/>
        <v>0</v>
      </c>
      <c r="N468" s="1">
        <f t="shared" si="134"/>
        <v>0</v>
      </c>
      <c r="O468" s="1">
        <f t="shared" si="135"/>
        <v>0</v>
      </c>
      <c r="P468" s="1">
        <f t="shared" si="136"/>
        <v>0</v>
      </c>
      <c r="Q468" s="1">
        <f t="shared" si="122"/>
        <v>0</v>
      </c>
      <c r="R468" s="1">
        <f t="shared" si="137"/>
        <v>0</v>
      </c>
      <c r="S468" s="1">
        <f t="shared" si="138"/>
        <v>0</v>
      </c>
      <c r="T468" s="1">
        <f t="shared" si="139"/>
        <v>0</v>
      </c>
      <c r="U468" s="1">
        <f t="shared" si="140"/>
        <v>0</v>
      </c>
      <c r="V468" s="1">
        <f t="shared" si="127"/>
        <v>0</v>
      </c>
      <c r="W468" s="1">
        <f t="shared" si="141"/>
        <v>0</v>
      </c>
      <c r="X468" s="1">
        <f t="shared" si="142"/>
        <v>0</v>
      </c>
      <c r="Y468" s="1">
        <f t="shared" si="143"/>
        <v>0</v>
      </c>
      <c r="Z468" s="1">
        <f t="shared" si="144"/>
        <v>0</v>
      </c>
      <c r="AA468" s="1">
        <f t="shared" si="132"/>
        <v>0</v>
      </c>
    </row>
    <row r="469" spans="12:27" x14ac:dyDescent="0.3">
      <c r="L469">
        <v>468</v>
      </c>
      <c r="M469" s="1">
        <f t="shared" si="133"/>
        <v>0</v>
      </c>
      <c r="N469" s="1">
        <f t="shared" si="134"/>
        <v>0</v>
      </c>
      <c r="O469" s="1">
        <f t="shared" si="135"/>
        <v>0</v>
      </c>
      <c r="P469" s="1">
        <f t="shared" si="136"/>
        <v>0</v>
      </c>
      <c r="Q469" s="1">
        <f t="shared" si="122"/>
        <v>0</v>
      </c>
      <c r="R469" s="1">
        <f t="shared" si="137"/>
        <v>0</v>
      </c>
      <c r="S469" s="1">
        <f t="shared" si="138"/>
        <v>0</v>
      </c>
      <c r="T469" s="1">
        <f t="shared" si="139"/>
        <v>0</v>
      </c>
      <c r="U469" s="1">
        <f t="shared" si="140"/>
        <v>0</v>
      </c>
      <c r="V469" s="1">
        <f t="shared" si="127"/>
        <v>0</v>
      </c>
      <c r="W469" s="1">
        <f t="shared" si="141"/>
        <v>0</v>
      </c>
      <c r="X469" s="1">
        <f t="shared" si="142"/>
        <v>0</v>
      </c>
      <c r="Y469" s="1">
        <f t="shared" si="143"/>
        <v>0</v>
      </c>
      <c r="Z469" s="1">
        <f t="shared" si="144"/>
        <v>0</v>
      </c>
      <c r="AA469" s="1">
        <f t="shared" si="132"/>
        <v>0</v>
      </c>
    </row>
    <row r="470" spans="12:27" x14ac:dyDescent="0.3">
      <c r="L470">
        <v>469</v>
      </c>
      <c r="M470" s="1">
        <f t="shared" si="133"/>
        <v>0</v>
      </c>
      <c r="N470" s="1">
        <f t="shared" si="134"/>
        <v>0</v>
      </c>
      <c r="O470" s="1">
        <f t="shared" si="135"/>
        <v>0</v>
      </c>
      <c r="P470" s="1">
        <f t="shared" si="136"/>
        <v>0</v>
      </c>
      <c r="Q470" s="1">
        <f t="shared" si="122"/>
        <v>0</v>
      </c>
      <c r="R470" s="1">
        <f t="shared" si="137"/>
        <v>0</v>
      </c>
      <c r="S470" s="1">
        <f t="shared" si="138"/>
        <v>0</v>
      </c>
      <c r="T470" s="1">
        <f t="shared" si="139"/>
        <v>0</v>
      </c>
      <c r="U470" s="1">
        <f t="shared" si="140"/>
        <v>0</v>
      </c>
      <c r="V470" s="1">
        <f t="shared" si="127"/>
        <v>0</v>
      </c>
      <c r="W470" s="1">
        <f t="shared" si="141"/>
        <v>0</v>
      </c>
      <c r="X470" s="1">
        <f t="shared" si="142"/>
        <v>0</v>
      </c>
      <c r="Y470" s="1">
        <f t="shared" si="143"/>
        <v>0</v>
      </c>
      <c r="Z470" s="1">
        <f t="shared" si="144"/>
        <v>0</v>
      </c>
      <c r="AA470" s="1">
        <f t="shared" si="132"/>
        <v>0</v>
      </c>
    </row>
    <row r="471" spans="12:27" x14ac:dyDescent="0.3">
      <c r="L471">
        <v>470</v>
      </c>
      <c r="M471" s="1">
        <f t="shared" si="133"/>
        <v>0</v>
      </c>
      <c r="N471" s="1">
        <f t="shared" si="134"/>
        <v>0</v>
      </c>
      <c r="O471" s="1">
        <f t="shared" si="135"/>
        <v>0</v>
      </c>
      <c r="P471" s="1">
        <f t="shared" si="136"/>
        <v>0</v>
      </c>
      <c r="Q471" s="1">
        <f t="shared" si="122"/>
        <v>0</v>
      </c>
      <c r="R471" s="1">
        <f t="shared" si="137"/>
        <v>0</v>
      </c>
      <c r="S471" s="1">
        <f t="shared" si="138"/>
        <v>0</v>
      </c>
      <c r="T471" s="1">
        <f t="shared" si="139"/>
        <v>0</v>
      </c>
      <c r="U471" s="1">
        <f t="shared" si="140"/>
        <v>0</v>
      </c>
      <c r="V471" s="1">
        <f t="shared" si="127"/>
        <v>0</v>
      </c>
      <c r="W471" s="1">
        <f t="shared" si="141"/>
        <v>0</v>
      </c>
      <c r="X471" s="1">
        <f t="shared" si="142"/>
        <v>0</v>
      </c>
      <c r="Y471" s="1">
        <f t="shared" si="143"/>
        <v>0</v>
      </c>
      <c r="Z471" s="1">
        <f t="shared" si="144"/>
        <v>0</v>
      </c>
      <c r="AA471" s="1">
        <f t="shared" si="132"/>
        <v>0</v>
      </c>
    </row>
    <row r="472" spans="12:27" x14ac:dyDescent="0.3">
      <c r="L472">
        <v>471</v>
      </c>
      <c r="M472" s="1">
        <f t="shared" si="133"/>
        <v>0</v>
      </c>
      <c r="N472" s="1">
        <f t="shared" si="134"/>
        <v>0</v>
      </c>
      <c r="O472" s="1">
        <f t="shared" si="135"/>
        <v>0</v>
      </c>
      <c r="P472" s="1">
        <f t="shared" si="136"/>
        <v>0</v>
      </c>
      <c r="Q472" s="1">
        <f t="shared" si="122"/>
        <v>0</v>
      </c>
      <c r="R472" s="1">
        <f t="shared" si="137"/>
        <v>0</v>
      </c>
      <c r="S472" s="1">
        <f t="shared" si="138"/>
        <v>0</v>
      </c>
      <c r="T472" s="1">
        <f t="shared" si="139"/>
        <v>0</v>
      </c>
      <c r="U472" s="1">
        <f t="shared" si="140"/>
        <v>0</v>
      </c>
      <c r="V472" s="1">
        <f t="shared" si="127"/>
        <v>0</v>
      </c>
      <c r="W472" s="1">
        <f t="shared" si="141"/>
        <v>0</v>
      </c>
      <c r="X472" s="1">
        <f t="shared" si="142"/>
        <v>0</v>
      </c>
      <c r="Y472" s="1">
        <f t="shared" si="143"/>
        <v>0</v>
      </c>
      <c r="Z472" s="1">
        <f t="shared" si="144"/>
        <v>0</v>
      </c>
      <c r="AA472" s="1">
        <f t="shared" si="132"/>
        <v>0</v>
      </c>
    </row>
    <row r="473" spans="12:27" x14ac:dyDescent="0.3">
      <c r="L473">
        <v>472</v>
      </c>
      <c r="M473" s="1">
        <f t="shared" si="133"/>
        <v>0</v>
      </c>
      <c r="N473" s="1">
        <f t="shared" si="134"/>
        <v>0</v>
      </c>
      <c r="O473" s="1">
        <f t="shared" si="135"/>
        <v>0</v>
      </c>
      <c r="P473" s="1">
        <f t="shared" si="136"/>
        <v>0</v>
      </c>
      <c r="Q473" s="1">
        <f t="shared" si="122"/>
        <v>0</v>
      </c>
      <c r="R473" s="1">
        <f t="shared" si="137"/>
        <v>0</v>
      </c>
      <c r="S473" s="1">
        <f t="shared" si="138"/>
        <v>0</v>
      </c>
      <c r="T473" s="1">
        <f t="shared" si="139"/>
        <v>0</v>
      </c>
      <c r="U473" s="1">
        <f t="shared" si="140"/>
        <v>0</v>
      </c>
      <c r="V473" s="1">
        <f t="shared" si="127"/>
        <v>0</v>
      </c>
      <c r="W473" s="1">
        <f t="shared" si="141"/>
        <v>0</v>
      </c>
      <c r="X473" s="1">
        <f t="shared" si="142"/>
        <v>0</v>
      </c>
      <c r="Y473" s="1">
        <f t="shared" si="143"/>
        <v>0</v>
      </c>
      <c r="Z473" s="1">
        <f t="shared" si="144"/>
        <v>0</v>
      </c>
      <c r="AA473" s="1">
        <f t="shared" si="132"/>
        <v>0</v>
      </c>
    </row>
    <row r="474" spans="12:27" x14ac:dyDescent="0.3">
      <c r="L474">
        <v>473</v>
      </c>
      <c r="M474" s="1">
        <f t="shared" si="133"/>
        <v>0</v>
      </c>
      <c r="N474" s="1">
        <f t="shared" si="134"/>
        <v>0</v>
      </c>
      <c r="O474" s="1">
        <f t="shared" si="135"/>
        <v>0</v>
      </c>
      <c r="P474" s="1">
        <f t="shared" si="136"/>
        <v>0</v>
      </c>
      <c r="Q474" s="1">
        <f t="shared" si="122"/>
        <v>0</v>
      </c>
      <c r="R474" s="1">
        <f t="shared" si="137"/>
        <v>0</v>
      </c>
      <c r="S474" s="1">
        <f t="shared" si="138"/>
        <v>0</v>
      </c>
      <c r="T474" s="1">
        <f t="shared" si="139"/>
        <v>0</v>
      </c>
      <c r="U474" s="1">
        <f t="shared" si="140"/>
        <v>0</v>
      </c>
      <c r="V474" s="1">
        <f t="shared" si="127"/>
        <v>0</v>
      </c>
      <c r="W474" s="1">
        <f t="shared" si="141"/>
        <v>0</v>
      </c>
      <c r="X474" s="1">
        <f t="shared" si="142"/>
        <v>0</v>
      </c>
      <c r="Y474" s="1">
        <f t="shared" si="143"/>
        <v>0</v>
      </c>
      <c r="Z474" s="1">
        <f t="shared" si="144"/>
        <v>0</v>
      </c>
      <c r="AA474" s="1">
        <f t="shared" si="132"/>
        <v>0</v>
      </c>
    </row>
    <row r="475" spans="12:27" x14ac:dyDescent="0.3">
      <c r="L475">
        <v>474</v>
      </c>
      <c r="M475" s="1">
        <f t="shared" si="133"/>
        <v>0</v>
      </c>
      <c r="N475" s="1">
        <f t="shared" si="134"/>
        <v>0</v>
      </c>
      <c r="O475" s="1">
        <f t="shared" si="135"/>
        <v>0</v>
      </c>
      <c r="P475" s="1">
        <f t="shared" si="136"/>
        <v>0</v>
      </c>
      <c r="Q475" s="1">
        <f t="shared" si="122"/>
        <v>0</v>
      </c>
      <c r="R475" s="1">
        <f t="shared" si="137"/>
        <v>0</v>
      </c>
      <c r="S475" s="1">
        <f t="shared" si="138"/>
        <v>0</v>
      </c>
      <c r="T475" s="1">
        <f t="shared" si="139"/>
        <v>0</v>
      </c>
      <c r="U475" s="1">
        <f t="shared" si="140"/>
        <v>0</v>
      </c>
      <c r="V475" s="1">
        <f t="shared" si="127"/>
        <v>0</v>
      </c>
      <c r="W475" s="1">
        <f t="shared" si="141"/>
        <v>0</v>
      </c>
      <c r="X475" s="1">
        <f t="shared" si="142"/>
        <v>0</v>
      </c>
      <c r="Y475" s="1">
        <f t="shared" si="143"/>
        <v>0</v>
      </c>
      <c r="Z475" s="1">
        <f t="shared" si="144"/>
        <v>0</v>
      </c>
      <c r="AA475" s="1">
        <f t="shared" si="132"/>
        <v>0</v>
      </c>
    </row>
    <row r="476" spans="12:27" x14ac:dyDescent="0.3">
      <c r="L476">
        <v>475</v>
      </c>
      <c r="M476" s="1">
        <f t="shared" si="133"/>
        <v>0</v>
      </c>
      <c r="N476" s="1">
        <f t="shared" si="134"/>
        <v>0</v>
      </c>
      <c r="O476" s="1">
        <f t="shared" si="135"/>
        <v>0</v>
      </c>
      <c r="P476" s="1">
        <f t="shared" si="136"/>
        <v>0</v>
      </c>
      <c r="Q476" s="1">
        <f t="shared" si="122"/>
        <v>0</v>
      </c>
      <c r="R476" s="1">
        <f t="shared" si="137"/>
        <v>0</v>
      </c>
      <c r="S476" s="1">
        <f t="shared" si="138"/>
        <v>0</v>
      </c>
      <c r="T476" s="1">
        <f t="shared" si="139"/>
        <v>0</v>
      </c>
      <c r="U476" s="1">
        <f t="shared" si="140"/>
        <v>0</v>
      </c>
      <c r="V476" s="1">
        <f t="shared" si="127"/>
        <v>0</v>
      </c>
      <c r="W476" s="1">
        <f t="shared" si="141"/>
        <v>0</v>
      </c>
      <c r="X476" s="1">
        <f t="shared" si="142"/>
        <v>0</v>
      </c>
      <c r="Y476" s="1">
        <f t="shared" si="143"/>
        <v>0</v>
      </c>
      <c r="Z476" s="1">
        <f t="shared" si="144"/>
        <v>0</v>
      </c>
      <c r="AA476" s="1">
        <f t="shared" si="132"/>
        <v>0</v>
      </c>
    </row>
    <row r="477" spans="12:27" x14ac:dyDescent="0.3">
      <c r="L477">
        <v>476</v>
      </c>
      <c r="M477" s="1">
        <f t="shared" si="133"/>
        <v>0</v>
      </c>
      <c r="N477" s="1">
        <f t="shared" si="134"/>
        <v>0</v>
      </c>
      <c r="O477" s="1">
        <f t="shared" si="135"/>
        <v>0</v>
      </c>
      <c r="P477" s="1">
        <f t="shared" si="136"/>
        <v>0</v>
      </c>
      <c r="Q477" s="1">
        <f t="shared" si="122"/>
        <v>0</v>
      </c>
      <c r="R477" s="1">
        <f t="shared" si="137"/>
        <v>0</v>
      </c>
      <c r="S477" s="1">
        <f t="shared" si="138"/>
        <v>0</v>
      </c>
      <c r="T477" s="1">
        <f t="shared" si="139"/>
        <v>0</v>
      </c>
      <c r="U477" s="1">
        <f t="shared" si="140"/>
        <v>0</v>
      </c>
      <c r="V477" s="1">
        <f t="shared" si="127"/>
        <v>0</v>
      </c>
      <c r="W477" s="1">
        <f t="shared" si="141"/>
        <v>0</v>
      </c>
      <c r="X477" s="1">
        <f t="shared" si="142"/>
        <v>0</v>
      </c>
      <c r="Y477" s="1">
        <f t="shared" si="143"/>
        <v>0</v>
      </c>
      <c r="Z477" s="1">
        <f t="shared" si="144"/>
        <v>0</v>
      </c>
      <c r="AA477" s="1">
        <f t="shared" si="132"/>
        <v>0</v>
      </c>
    </row>
    <row r="478" spans="12:27" x14ac:dyDescent="0.3">
      <c r="L478">
        <v>477</v>
      </c>
      <c r="M478" s="1">
        <f t="shared" si="133"/>
        <v>0</v>
      </c>
      <c r="N478" s="1">
        <f t="shared" si="134"/>
        <v>0</v>
      </c>
      <c r="O478" s="1">
        <f t="shared" si="135"/>
        <v>0</v>
      </c>
      <c r="P478" s="1">
        <f t="shared" si="136"/>
        <v>0</v>
      </c>
      <c r="Q478" s="1">
        <f t="shared" si="122"/>
        <v>0</v>
      </c>
      <c r="R478" s="1">
        <f t="shared" si="137"/>
        <v>0</v>
      </c>
      <c r="S478" s="1">
        <f t="shared" si="138"/>
        <v>0</v>
      </c>
      <c r="T478" s="1">
        <f t="shared" si="139"/>
        <v>0</v>
      </c>
      <c r="U478" s="1">
        <f t="shared" si="140"/>
        <v>0</v>
      </c>
      <c r="V478" s="1">
        <f t="shared" si="127"/>
        <v>0</v>
      </c>
      <c r="W478" s="1">
        <f t="shared" si="141"/>
        <v>0</v>
      </c>
      <c r="X478" s="1">
        <f t="shared" si="142"/>
        <v>0</v>
      </c>
      <c r="Y478" s="1">
        <f t="shared" si="143"/>
        <v>0</v>
      </c>
      <c r="Z478" s="1">
        <f t="shared" si="144"/>
        <v>0</v>
      </c>
      <c r="AA478" s="1">
        <f t="shared" si="132"/>
        <v>0</v>
      </c>
    </row>
    <row r="479" spans="12:27" x14ac:dyDescent="0.3">
      <c r="L479">
        <v>478</v>
      </c>
      <c r="M479" s="1">
        <f t="shared" si="133"/>
        <v>0</v>
      </c>
      <c r="N479" s="1">
        <f t="shared" si="134"/>
        <v>0</v>
      </c>
      <c r="O479" s="1">
        <f t="shared" si="135"/>
        <v>0</v>
      </c>
      <c r="P479" s="1">
        <f t="shared" si="136"/>
        <v>0</v>
      </c>
      <c r="Q479" s="1">
        <f t="shared" si="122"/>
        <v>0</v>
      </c>
      <c r="R479" s="1">
        <f t="shared" si="137"/>
        <v>0</v>
      </c>
      <c r="S479" s="1">
        <f t="shared" si="138"/>
        <v>0</v>
      </c>
      <c r="T479" s="1">
        <f t="shared" si="139"/>
        <v>0</v>
      </c>
      <c r="U479" s="1">
        <f t="shared" si="140"/>
        <v>0</v>
      </c>
      <c r="V479" s="1">
        <f t="shared" si="127"/>
        <v>0</v>
      </c>
      <c r="W479" s="1">
        <f t="shared" si="141"/>
        <v>0</v>
      </c>
      <c r="X479" s="1">
        <f t="shared" si="142"/>
        <v>0</v>
      </c>
      <c r="Y479" s="1">
        <f t="shared" si="143"/>
        <v>0</v>
      </c>
      <c r="Z479" s="1">
        <f t="shared" si="144"/>
        <v>0</v>
      </c>
      <c r="AA479" s="1">
        <f t="shared" si="132"/>
        <v>0</v>
      </c>
    </row>
    <row r="480" spans="12:27" x14ac:dyDescent="0.3">
      <c r="L480">
        <v>479</v>
      </c>
      <c r="M480" s="1">
        <f t="shared" si="133"/>
        <v>0</v>
      </c>
      <c r="N480" s="1">
        <f t="shared" si="134"/>
        <v>0</v>
      </c>
      <c r="O480" s="1">
        <f t="shared" si="135"/>
        <v>0</v>
      </c>
      <c r="P480" s="1">
        <f t="shared" si="136"/>
        <v>0</v>
      </c>
      <c r="Q480" s="1">
        <f t="shared" si="122"/>
        <v>0</v>
      </c>
      <c r="R480" s="1">
        <f t="shared" si="137"/>
        <v>0</v>
      </c>
      <c r="S480" s="1">
        <f t="shared" si="138"/>
        <v>0</v>
      </c>
      <c r="T480" s="1">
        <f t="shared" si="139"/>
        <v>0</v>
      </c>
      <c r="U480" s="1">
        <f t="shared" si="140"/>
        <v>0</v>
      </c>
      <c r="V480" s="1">
        <f t="shared" si="127"/>
        <v>0</v>
      </c>
      <c r="W480" s="1">
        <f t="shared" si="141"/>
        <v>0</v>
      </c>
      <c r="X480" s="1">
        <f t="shared" si="142"/>
        <v>0</v>
      </c>
      <c r="Y480" s="1">
        <f t="shared" si="143"/>
        <v>0</v>
      </c>
      <c r="Z480" s="1">
        <f t="shared" si="144"/>
        <v>0</v>
      </c>
      <c r="AA480" s="1">
        <f t="shared" si="132"/>
        <v>0</v>
      </c>
    </row>
    <row r="481" spans="12:27" x14ac:dyDescent="0.3">
      <c r="L481">
        <v>480</v>
      </c>
      <c r="M481" s="1">
        <f t="shared" si="133"/>
        <v>0</v>
      </c>
      <c r="N481" s="1">
        <f t="shared" si="134"/>
        <v>0</v>
      </c>
      <c r="O481" s="1">
        <f t="shared" si="135"/>
        <v>0</v>
      </c>
      <c r="P481" s="1">
        <f t="shared" si="136"/>
        <v>0</v>
      </c>
      <c r="Q481" s="1">
        <f t="shared" si="122"/>
        <v>0</v>
      </c>
      <c r="R481" s="1">
        <f t="shared" si="137"/>
        <v>0</v>
      </c>
      <c r="S481" s="1">
        <f t="shared" si="138"/>
        <v>0</v>
      </c>
      <c r="T481" s="1">
        <f t="shared" si="139"/>
        <v>0</v>
      </c>
      <c r="U481" s="1">
        <f t="shared" si="140"/>
        <v>0</v>
      </c>
      <c r="V481" s="1">
        <f t="shared" si="127"/>
        <v>0</v>
      </c>
      <c r="W481" s="1">
        <f t="shared" si="141"/>
        <v>0</v>
      </c>
      <c r="X481" s="1">
        <f t="shared" si="142"/>
        <v>0</v>
      </c>
      <c r="Y481" s="1">
        <f t="shared" si="143"/>
        <v>0</v>
      </c>
      <c r="Z481" s="1">
        <f t="shared" si="144"/>
        <v>0</v>
      </c>
      <c r="AA481" s="1">
        <f t="shared" si="132"/>
        <v>0</v>
      </c>
    </row>
    <row r="482" spans="12:27" x14ac:dyDescent="0.3">
      <c r="L482">
        <v>481</v>
      </c>
      <c r="M482" s="1">
        <f t="shared" si="133"/>
        <v>0</v>
      </c>
      <c r="N482" s="1">
        <f t="shared" si="134"/>
        <v>0</v>
      </c>
      <c r="O482" s="1">
        <f t="shared" si="135"/>
        <v>0</v>
      </c>
      <c r="P482" s="1">
        <f t="shared" si="136"/>
        <v>0</v>
      </c>
      <c r="Q482" s="1">
        <f t="shared" si="122"/>
        <v>0</v>
      </c>
      <c r="R482" s="1">
        <f t="shared" si="137"/>
        <v>0</v>
      </c>
      <c r="S482" s="1">
        <f t="shared" si="138"/>
        <v>0</v>
      </c>
      <c r="T482" s="1">
        <f t="shared" si="139"/>
        <v>0</v>
      </c>
      <c r="U482" s="1">
        <f t="shared" si="140"/>
        <v>0</v>
      </c>
      <c r="V482" s="1">
        <f t="shared" si="127"/>
        <v>0</v>
      </c>
      <c r="W482" s="1">
        <f t="shared" si="141"/>
        <v>0</v>
      </c>
      <c r="X482" s="1">
        <f t="shared" si="142"/>
        <v>0</v>
      </c>
      <c r="Y482" s="1">
        <f t="shared" si="143"/>
        <v>0</v>
      </c>
      <c r="Z482" s="1">
        <f t="shared" si="144"/>
        <v>0</v>
      </c>
      <c r="AA482" s="1">
        <f t="shared" si="132"/>
        <v>0</v>
      </c>
    </row>
    <row r="483" spans="12:27" x14ac:dyDescent="0.3">
      <c r="L483">
        <v>482</v>
      </c>
      <c r="M483" s="1">
        <f t="shared" si="133"/>
        <v>0</v>
      </c>
      <c r="N483" s="1">
        <f t="shared" si="134"/>
        <v>0</v>
      </c>
      <c r="O483" s="1">
        <f t="shared" si="135"/>
        <v>0</v>
      </c>
      <c r="P483" s="1">
        <f t="shared" si="136"/>
        <v>0</v>
      </c>
      <c r="Q483" s="1">
        <f t="shared" si="122"/>
        <v>0</v>
      </c>
      <c r="R483" s="1">
        <f t="shared" si="137"/>
        <v>0</v>
      </c>
      <c r="S483" s="1">
        <f t="shared" si="138"/>
        <v>0</v>
      </c>
      <c r="T483" s="1">
        <f t="shared" si="139"/>
        <v>0</v>
      </c>
      <c r="U483" s="1">
        <f t="shared" si="140"/>
        <v>0</v>
      </c>
      <c r="V483" s="1">
        <f t="shared" si="127"/>
        <v>0</v>
      </c>
      <c r="W483" s="1">
        <f t="shared" si="141"/>
        <v>0</v>
      </c>
      <c r="X483" s="1">
        <f t="shared" si="142"/>
        <v>0</v>
      </c>
      <c r="Y483" s="1">
        <f t="shared" si="143"/>
        <v>0</v>
      </c>
      <c r="Z483" s="1">
        <f t="shared" si="144"/>
        <v>0</v>
      </c>
      <c r="AA483" s="1">
        <f t="shared" si="132"/>
        <v>0</v>
      </c>
    </row>
    <row r="484" spans="12:27" x14ac:dyDescent="0.3">
      <c r="L484">
        <v>483</v>
      </c>
      <c r="M484" s="1">
        <f t="shared" si="133"/>
        <v>0</v>
      </c>
      <c r="N484" s="1">
        <f t="shared" si="134"/>
        <v>0</v>
      </c>
      <c r="O484" s="1">
        <f t="shared" si="135"/>
        <v>0</v>
      </c>
      <c r="P484" s="1">
        <f t="shared" si="136"/>
        <v>0</v>
      </c>
      <c r="Q484" s="1">
        <f t="shared" si="122"/>
        <v>0</v>
      </c>
      <c r="R484" s="1">
        <f t="shared" si="137"/>
        <v>0</v>
      </c>
      <c r="S484" s="1">
        <f t="shared" si="138"/>
        <v>0</v>
      </c>
      <c r="T484" s="1">
        <f t="shared" si="139"/>
        <v>0</v>
      </c>
      <c r="U484" s="1">
        <f t="shared" si="140"/>
        <v>0</v>
      </c>
      <c r="V484" s="1">
        <f t="shared" si="127"/>
        <v>0</v>
      </c>
      <c r="W484" s="1">
        <f t="shared" si="141"/>
        <v>0</v>
      </c>
      <c r="X484" s="1">
        <f t="shared" si="142"/>
        <v>0</v>
      </c>
      <c r="Y484" s="1">
        <f t="shared" si="143"/>
        <v>0</v>
      </c>
      <c r="Z484" s="1">
        <f t="shared" si="144"/>
        <v>0</v>
      </c>
      <c r="AA484" s="1">
        <f t="shared" si="132"/>
        <v>0</v>
      </c>
    </row>
    <row r="485" spans="12:27" x14ac:dyDescent="0.3">
      <c r="L485">
        <v>484</v>
      </c>
      <c r="M485" s="1">
        <f t="shared" si="133"/>
        <v>0</v>
      </c>
      <c r="N485" s="1">
        <f t="shared" si="134"/>
        <v>0</v>
      </c>
      <c r="O485" s="1">
        <f t="shared" si="135"/>
        <v>0</v>
      </c>
      <c r="P485" s="1">
        <f t="shared" si="136"/>
        <v>0</v>
      </c>
      <c r="Q485" s="1">
        <f t="shared" si="122"/>
        <v>0</v>
      </c>
      <c r="R485" s="1">
        <f t="shared" si="137"/>
        <v>0</v>
      </c>
      <c r="S485" s="1">
        <f t="shared" si="138"/>
        <v>0</v>
      </c>
      <c r="T485" s="1">
        <f t="shared" si="139"/>
        <v>0</v>
      </c>
      <c r="U485" s="1">
        <f t="shared" si="140"/>
        <v>0</v>
      </c>
      <c r="V485" s="1">
        <f t="shared" si="127"/>
        <v>0</v>
      </c>
      <c r="W485" s="1">
        <f t="shared" si="141"/>
        <v>0</v>
      </c>
      <c r="X485" s="1">
        <f t="shared" si="142"/>
        <v>0</v>
      </c>
      <c r="Y485" s="1">
        <f t="shared" si="143"/>
        <v>0</v>
      </c>
      <c r="Z485" s="1">
        <f t="shared" si="144"/>
        <v>0</v>
      </c>
      <c r="AA485" s="1">
        <f t="shared" si="132"/>
        <v>0</v>
      </c>
    </row>
    <row r="486" spans="12:27" x14ac:dyDescent="0.3">
      <c r="L486">
        <v>485</v>
      </c>
      <c r="M486" s="1">
        <f t="shared" si="133"/>
        <v>0</v>
      </c>
      <c r="N486" s="1">
        <f t="shared" si="134"/>
        <v>0</v>
      </c>
      <c r="O486" s="1">
        <f t="shared" si="135"/>
        <v>0</v>
      </c>
      <c r="P486" s="1">
        <f t="shared" si="136"/>
        <v>0</v>
      </c>
      <c r="Q486" s="1">
        <f t="shared" si="122"/>
        <v>0</v>
      </c>
      <c r="R486" s="1">
        <f t="shared" si="137"/>
        <v>0</v>
      </c>
      <c r="S486" s="1">
        <f t="shared" si="138"/>
        <v>0</v>
      </c>
      <c r="T486" s="1">
        <f t="shared" si="139"/>
        <v>0</v>
      </c>
      <c r="U486" s="1">
        <f t="shared" si="140"/>
        <v>0</v>
      </c>
      <c r="V486" s="1">
        <f t="shared" si="127"/>
        <v>0</v>
      </c>
      <c r="W486" s="1">
        <f t="shared" si="141"/>
        <v>0</v>
      </c>
      <c r="X486" s="1">
        <f t="shared" si="142"/>
        <v>0</v>
      </c>
      <c r="Y486" s="1">
        <f t="shared" si="143"/>
        <v>0</v>
      </c>
      <c r="Z486" s="1">
        <f t="shared" si="144"/>
        <v>0</v>
      </c>
      <c r="AA486" s="1">
        <f t="shared" si="132"/>
        <v>0</v>
      </c>
    </row>
  </sheetData>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dimension ref="A1:Y15"/>
  <sheetViews>
    <sheetView topLeftCell="H1" workbookViewId="0">
      <selection activeCell="V2" sqref="V2"/>
    </sheetView>
  </sheetViews>
  <sheetFormatPr defaultRowHeight="14.4" x14ac:dyDescent="0.3"/>
  <cols>
    <col min="8" max="8" width="13.6640625" customWidth="1"/>
    <col min="12" max="12" width="12.44140625" customWidth="1"/>
    <col min="13" max="13" width="9.5546875" bestFit="1" customWidth="1"/>
    <col min="16" max="16" width="12.5546875" customWidth="1"/>
    <col min="21" max="21" width="11.33203125" customWidth="1"/>
    <col min="22" max="22" width="11.109375" customWidth="1"/>
  </cols>
  <sheetData>
    <row r="1" spans="1:25" x14ac:dyDescent="0.3">
      <c r="A1" t="s">
        <v>396</v>
      </c>
      <c r="B1" t="s">
        <v>725</v>
      </c>
      <c r="C1" t="s">
        <v>724</v>
      </c>
      <c r="D1" t="s">
        <v>721</v>
      </c>
      <c r="E1" t="s">
        <v>722</v>
      </c>
      <c r="F1" t="s">
        <v>723</v>
      </c>
      <c r="G1" t="s">
        <v>760</v>
      </c>
      <c r="H1" t="s">
        <v>761</v>
      </c>
      <c r="I1" t="s">
        <v>755</v>
      </c>
      <c r="J1" t="s">
        <v>781</v>
      </c>
      <c r="K1" t="s">
        <v>726</v>
      </c>
      <c r="L1" t="s">
        <v>764</v>
      </c>
      <c r="M1" t="s">
        <v>756</v>
      </c>
      <c r="N1" t="s">
        <v>782</v>
      </c>
      <c r="O1" t="s">
        <v>727</v>
      </c>
      <c r="P1" t="s">
        <v>773</v>
      </c>
      <c r="Q1" t="s">
        <v>757</v>
      </c>
      <c r="R1" t="s">
        <v>783</v>
      </c>
      <c r="S1" t="s">
        <v>786</v>
      </c>
      <c r="T1" t="s">
        <v>785</v>
      </c>
      <c r="U1" t="s">
        <v>933</v>
      </c>
      <c r="V1" t="s">
        <v>934</v>
      </c>
      <c r="X1" t="s">
        <v>763</v>
      </c>
      <c r="Y1">
        <f>0.531747+0.295164*Y2-0.0576697*Y2^2+0.003804*Y2^3</f>
        <v>0.70252795346399999</v>
      </c>
    </row>
    <row r="2" spans="1:25" x14ac:dyDescent="0.3">
      <c r="A2">
        <v>1</v>
      </c>
      <c r="B2" s="5">
        <f>VLOOKUP(county,ET.county!$A$2:$N$101,A2+2,FALSE)</f>
        <v>1.4889763779527558</v>
      </c>
      <c r="C2" s="5">
        <f>+AVERAGE(kcs!Q2:Q32)</f>
        <v>0</v>
      </c>
      <c r="D2" s="5">
        <f>+AVERAGE(kcs!V2:V32)</f>
        <v>0</v>
      </c>
      <c r="E2" s="5">
        <f>+AVERAGE(kcs!AA2:AA32)</f>
        <v>0</v>
      </c>
      <c r="F2" s="5">
        <f t="shared" ref="F2:F13" si="0">ref.et*kc.crop.1</f>
        <v>0</v>
      </c>
      <c r="G2" s="5">
        <f>VLOOKUP(county,ppt.county!$D$2:$T$101,6)/100</f>
        <v>3.59</v>
      </c>
      <c r="H2" s="5">
        <f t="shared" ref="H2:H13" si="1">SF*(0.70917*ppt^0.82416-0.11556)*10^(0.02426*etc.crop1)</f>
        <v>1.3473828429253909</v>
      </c>
      <c r="I2" s="5">
        <f t="shared" ref="I2:I13" si="2">MAX(0,etc.crop1-eff.ppt.crop1)</f>
        <v>0</v>
      </c>
      <c r="J2" s="5">
        <f t="shared" ref="J2:J13" si="3">+I2/(eff.1/100)</f>
        <v>0</v>
      </c>
      <c r="K2" s="5">
        <f t="shared" ref="K2:K13" si="4">ref.et*kc.crop.2</f>
        <v>0</v>
      </c>
      <c r="L2" s="5">
        <f t="shared" ref="L2:L13" si="5">SF*(0.70917*ppt^0.82416-0.11556)*10^(0.02426*etc.crop2)</f>
        <v>1.3473828429253909</v>
      </c>
      <c r="M2" s="5">
        <f t="shared" ref="M2:M13" si="6">MAX(0,etc.crop2-eff.ppt.crop2)</f>
        <v>0</v>
      </c>
      <c r="N2" s="5">
        <f t="shared" ref="N2:N13" si="7">+M2/(eff.2/100)</f>
        <v>0</v>
      </c>
      <c r="O2" s="5">
        <f t="shared" ref="O2:O13" si="8">ref.et*kc.crop.3</f>
        <v>0</v>
      </c>
      <c r="P2" s="5">
        <f t="shared" ref="P2:P13" si="9">SF*(0.70917*ppt^0.82416-0.11556)*10^(0.02426*etc.crop3)</f>
        <v>1.3473828429253909</v>
      </c>
      <c r="Q2" s="5">
        <f t="shared" ref="Q2:Q13" si="10">MAX(0,etc.crop3-eff.ppt.crop3)</f>
        <v>0</v>
      </c>
      <c r="R2" s="5">
        <f t="shared" ref="R2:R13" si="11">+Q2/(eff.3/100)</f>
        <v>0</v>
      </c>
      <c r="S2" s="5">
        <f t="shared" ref="S2:S13" si="12">IF(total.acres&lt;&gt;0,GIR.crop.1*VALUE(Acres1)/total.acres+GIR.crop.2*VALUE(Acres2)/total.acres+GIR.crop.3*VALUE(Acres3)/total.acres,0)</f>
        <v>0</v>
      </c>
      <c r="T2" s="8">
        <f t="shared" ref="T2:T13" si="13">IF(ISNA(wgtd.GIR),0,wgtd.GIR/12*total.acres)</f>
        <v>0</v>
      </c>
      <c r="U2">
        <f>IF(Livestock.total&lt;&gt;0,(VLOOKUP(Livetype1,'input.form.data'!$AD$2:$AE$11,2,FALSE)*VALUE(Livestock1)+VLOOKUP(Livetype2,'input.form.data'!$AD$2:$AE$11,2,FALSE)*VALUE(Livestock2)+VLOOKUP(Livetype3,'input.form.data'!$AD$2:$AE$11,2,FALSE)*VALUE(Livestock3)+VLOOKUP(Livetype4,'input.form.data'!$AD$2:$AE$11,2,FALSE)*VALUE(Livestock4))*VLOOKUP(A2,ET.region!$N$4:$O$15,2,FALSE),0)</f>
        <v>0</v>
      </c>
      <c r="V2">
        <f t="shared" ref="V2:V13" si="14">IF(ISNA(livestock.gall),0,livestock.gall/(27154*12))</f>
        <v>0</v>
      </c>
      <c r="X2" t="s">
        <v>762</v>
      </c>
      <c r="Y2">
        <v>0.66</v>
      </c>
    </row>
    <row r="3" spans="1:25" x14ac:dyDescent="0.3">
      <c r="A3">
        <v>2</v>
      </c>
      <c r="B3" s="5">
        <f>VLOOKUP(county,ET.county!$A$2:$N$101,A3+2,FALSE)</f>
        <v>1.9401574803149606</v>
      </c>
      <c r="C3" s="5">
        <f>AVERAGE(kcs!Q33:Q60)</f>
        <v>0</v>
      </c>
      <c r="D3" s="5">
        <f>AVERAGE(kcs!V33:V60)</f>
        <v>0</v>
      </c>
      <c r="E3" s="5">
        <f>AVERAGE(kcs!AA33:AA60)</f>
        <v>0</v>
      </c>
      <c r="F3" s="5">
        <f t="shared" si="0"/>
        <v>0</v>
      </c>
      <c r="G3" s="5">
        <f>VLOOKUP(county,ppt.county!$D$2:$T$101,7)/100</f>
        <v>3.71</v>
      </c>
      <c r="H3" s="5">
        <f t="shared" si="1"/>
        <v>1.3866235848952595</v>
      </c>
      <c r="I3" s="5">
        <f t="shared" si="2"/>
        <v>0</v>
      </c>
      <c r="J3" s="5">
        <f t="shared" si="3"/>
        <v>0</v>
      </c>
      <c r="K3" s="5">
        <f t="shared" si="4"/>
        <v>0</v>
      </c>
      <c r="L3" s="5">
        <f t="shared" si="5"/>
        <v>1.3866235848952595</v>
      </c>
      <c r="M3" s="5">
        <f t="shared" si="6"/>
        <v>0</v>
      </c>
      <c r="N3" s="5">
        <f t="shared" si="7"/>
        <v>0</v>
      </c>
      <c r="O3" s="5">
        <f t="shared" si="8"/>
        <v>0</v>
      </c>
      <c r="P3" s="5">
        <f t="shared" si="9"/>
        <v>1.3866235848952595</v>
      </c>
      <c r="Q3" s="5">
        <f t="shared" si="10"/>
        <v>0</v>
      </c>
      <c r="R3" s="5">
        <f t="shared" si="11"/>
        <v>0</v>
      </c>
      <c r="S3" s="5">
        <f t="shared" si="12"/>
        <v>0</v>
      </c>
      <c r="T3" s="8">
        <f t="shared" si="13"/>
        <v>0</v>
      </c>
      <c r="U3">
        <f>IF(Livestock.total&lt;&gt;0,(VLOOKUP(Livetype1,'input.form.data'!$AD$2:$AE$11,2)*VALUE(Livestock1)+VLOOKUP(Livetype2,'input.form.data'!$AD$2:$AE$11,2)*VALUE(Livestock2)+VLOOKUP(Livetype3,'input.form.data'!$AD$2:$AE$11,2)*VALUE(Livestock3)+VLOOKUP(Livetype4,'input.form.data'!$AD$2:$AE$11,2)*VALUE(Livestock4))*VLOOKUP(A3,ET.region!$N$4:$O$15,2),0)</f>
        <v>0</v>
      </c>
      <c r="V3">
        <f t="shared" si="14"/>
        <v>0</v>
      </c>
    </row>
    <row r="4" spans="1:25" x14ac:dyDescent="0.3">
      <c r="A4">
        <v>3</v>
      </c>
      <c r="B4" s="5">
        <f>VLOOKUP(county,ET.county!$A$2:$N$101,A4+2,FALSE)</f>
        <v>3.2952755905511819</v>
      </c>
      <c r="C4" s="5">
        <f>AVERAGE(kcs!Q61:Q91)</f>
        <v>0</v>
      </c>
      <c r="D4" s="5">
        <f>AVERAGE(kcs!V61:V91)</f>
        <v>0</v>
      </c>
      <c r="E4" s="5">
        <f>AVERAGE(kcs!AA61:AA91)</f>
        <v>0</v>
      </c>
      <c r="F4" s="5">
        <f t="shared" si="0"/>
        <v>0</v>
      </c>
      <c r="G4" s="5">
        <f>VLOOKUP(county,ppt.county!$D$2:$T$101,8)/100</f>
        <v>4.04</v>
      </c>
      <c r="H4" s="5">
        <f t="shared" si="1"/>
        <v>1.4934121844278436</v>
      </c>
      <c r="I4" s="5">
        <f t="shared" si="2"/>
        <v>0</v>
      </c>
      <c r="J4" s="5">
        <f t="shared" si="3"/>
        <v>0</v>
      </c>
      <c r="K4" s="5">
        <f t="shared" si="4"/>
        <v>0</v>
      </c>
      <c r="L4" s="5">
        <f t="shared" si="5"/>
        <v>1.4934121844278436</v>
      </c>
      <c r="M4" s="5">
        <f t="shared" si="6"/>
        <v>0</v>
      </c>
      <c r="N4" s="5">
        <f t="shared" si="7"/>
        <v>0</v>
      </c>
      <c r="O4" s="5">
        <f t="shared" si="8"/>
        <v>0</v>
      </c>
      <c r="P4" s="5">
        <f t="shared" si="9"/>
        <v>1.4934121844278436</v>
      </c>
      <c r="Q4" s="5">
        <f t="shared" si="10"/>
        <v>0</v>
      </c>
      <c r="R4" s="5">
        <f t="shared" si="11"/>
        <v>0</v>
      </c>
      <c r="S4" s="5">
        <f t="shared" si="12"/>
        <v>0</v>
      </c>
      <c r="T4" s="8">
        <f t="shared" si="13"/>
        <v>0</v>
      </c>
      <c r="U4">
        <f>IF(Livestock.total&lt;&gt;0,(VLOOKUP(Livetype1,'input.form.data'!$AD$2:$AE$11,2)*VALUE(Livestock1)+VLOOKUP(Livetype2,'input.form.data'!$AD$2:$AE$11,2)*VALUE(Livestock2)+VLOOKUP(Livetype3,'input.form.data'!$AD$2:$AE$11,2)*VALUE(Livestock3)+VLOOKUP(Livetype4,'input.form.data'!$AD$2:$AE$11,2)*VALUE(Livestock4))*VLOOKUP(A4,ET.region!$N$4:$O$15,2),0)</f>
        <v>0</v>
      </c>
      <c r="V4">
        <f t="shared" si="14"/>
        <v>0</v>
      </c>
      <c r="Y4" t="s">
        <v>758</v>
      </c>
    </row>
    <row r="5" spans="1:25" x14ac:dyDescent="0.3">
      <c r="A5">
        <v>4</v>
      </c>
      <c r="B5" s="5">
        <f>VLOOKUP(county,ET.county!$A$2:$N$101,A5+2,FALSE)</f>
        <v>4.7007874015748037</v>
      </c>
      <c r="C5" s="5">
        <f>AVERAGE(kcs!Q91:Q120)</f>
        <v>0.32085714285714279</v>
      </c>
      <c r="D5" s="5">
        <f>AVERAGE(kcs!V91:V120)</f>
        <v>0</v>
      </c>
      <c r="E5" s="5">
        <f>AVERAGE(kcs!AA91:AA120)</f>
        <v>0</v>
      </c>
      <c r="F5" s="5">
        <f t="shared" si="0"/>
        <v>1.5082812148481439</v>
      </c>
      <c r="G5" s="5">
        <f>VLOOKUP(county,ppt.county!$D$2:$T$101,9)/100</f>
        <v>3.72</v>
      </c>
      <c r="H5" s="5">
        <f t="shared" si="1"/>
        <v>1.5120609446278837</v>
      </c>
      <c r="I5" s="5">
        <f t="shared" si="2"/>
        <v>0</v>
      </c>
      <c r="J5" s="5">
        <f t="shared" si="3"/>
        <v>0</v>
      </c>
      <c r="K5" s="5">
        <f t="shared" si="4"/>
        <v>0</v>
      </c>
      <c r="L5" s="5">
        <f t="shared" si="5"/>
        <v>1.3898834825526993</v>
      </c>
      <c r="M5" s="5">
        <f t="shared" si="6"/>
        <v>0</v>
      </c>
      <c r="N5" s="5">
        <f t="shared" si="7"/>
        <v>0</v>
      </c>
      <c r="O5" s="5">
        <f t="shared" si="8"/>
        <v>0</v>
      </c>
      <c r="P5" s="5">
        <f t="shared" si="9"/>
        <v>1.3898834825526993</v>
      </c>
      <c r="Q5" s="5">
        <f t="shared" si="10"/>
        <v>0</v>
      </c>
      <c r="R5" s="5">
        <f t="shared" si="11"/>
        <v>0</v>
      </c>
      <c r="S5" s="5">
        <f t="shared" si="12"/>
        <v>0</v>
      </c>
      <c r="T5" s="8">
        <f t="shared" si="13"/>
        <v>0</v>
      </c>
      <c r="U5">
        <f>IF(Livestock.total&lt;&gt;0,(VLOOKUP(Livetype1,'input.form.data'!$AD$2:$AE$11,2)*VALUE(Livestock1)+VLOOKUP(Livetype2,'input.form.data'!$AD$2:$AE$11,2)*VALUE(Livestock2)+VLOOKUP(Livetype3,'input.form.data'!$AD$2:$AE$11,2)*VALUE(Livestock3)+VLOOKUP(Livetype4,'input.form.data'!$AD$2:$AE$11,2)*VALUE(Livestock4))*VLOOKUP(A5,ET.region!$N$4:$O$15,2),0)</f>
        <v>0</v>
      </c>
      <c r="V5">
        <f t="shared" si="14"/>
        <v>0</v>
      </c>
      <c r="Y5" t="s">
        <v>759</v>
      </c>
    </row>
    <row r="6" spans="1:25" x14ac:dyDescent="0.3">
      <c r="A6">
        <v>5</v>
      </c>
      <c r="B6" s="5">
        <f>VLOOKUP(county,ET.county!$A$2:$N$101,A6+2,FALSE)</f>
        <v>6.0169291338582678</v>
      </c>
      <c r="C6" s="5">
        <f>AVERAGE(kcs!Q121:Q151)</f>
        <v>0.90884792626728084</v>
      </c>
      <c r="D6" s="5">
        <f>AVERAGE(kcs!V121:V151)</f>
        <v>0</v>
      </c>
      <c r="E6" s="5">
        <f>AVERAGE(kcs!AA121:AA151)</f>
        <v>0</v>
      </c>
      <c r="F6" s="5">
        <f t="shared" si="0"/>
        <v>5.4684735658042731</v>
      </c>
      <c r="G6" s="5">
        <f>VLOOKUP(county,ppt.county!$D$2:$T$101,10)/100</f>
        <v>3.21</v>
      </c>
      <c r="H6" s="5">
        <f t="shared" si="1"/>
        <v>1.6579664390433042</v>
      </c>
      <c r="I6" s="5">
        <f t="shared" si="2"/>
        <v>3.8105071267609691</v>
      </c>
      <c r="J6" s="5">
        <f t="shared" si="3"/>
        <v>4.763133908451211</v>
      </c>
      <c r="K6" s="5">
        <f t="shared" si="4"/>
        <v>0</v>
      </c>
      <c r="L6" s="5">
        <f t="shared" si="5"/>
        <v>1.221548083019546</v>
      </c>
      <c r="M6" s="5">
        <f t="shared" si="6"/>
        <v>0</v>
      </c>
      <c r="N6" s="5">
        <f t="shared" si="7"/>
        <v>0</v>
      </c>
      <c r="O6" s="5">
        <f t="shared" si="8"/>
        <v>0</v>
      </c>
      <c r="P6" s="5">
        <f t="shared" si="9"/>
        <v>1.221548083019546</v>
      </c>
      <c r="Q6" s="5">
        <f t="shared" si="10"/>
        <v>0</v>
      </c>
      <c r="R6" s="5">
        <f t="shared" si="11"/>
        <v>0</v>
      </c>
      <c r="S6" s="5">
        <f t="shared" si="12"/>
        <v>4.763133908451211</v>
      </c>
      <c r="T6" s="8">
        <f t="shared" si="13"/>
        <v>39.692782570426758</v>
      </c>
      <c r="U6">
        <f>IF(Livestock.total&lt;&gt;0,(VLOOKUP(Livetype1,'input.form.data'!$AD$2:$AE$11,2)*VALUE(Livestock1)+VLOOKUP(Livetype2,'input.form.data'!$AD$2:$AE$11,2)*VALUE(Livestock2)+VLOOKUP(Livetype3,'input.form.data'!$AD$2:$AE$11,2)*VALUE(Livestock3)+VLOOKUP(Livetype4,'input.form.data'!$AD$2:$AE$11,2)*VALUE(Livestock4))*VLOOKUP(A6,ET.region!$N$4:$O$15,2),0)</f>
        <v>0</v>
      </c>
      <c r="V6">
        <f t="shared" si="14"/>
        <v>0</v>
      </c>
    </row>
    <row r="7" spans="1:25" x14ac:dyDescent="0.3">
      <c r="A7">
        <v>6</v>
      </c>
      <c r="B7" s="5">
        <f>VLOOKUP(county,ET.county!$A$2:$N$101,A7+2,FALSE)</f>
        <v>6.6496062992125982</v>
      </c>
      <c r="C7" s="5">
        <f>AVERAGE(kcs!Q152:Q181)</f>
        <v>1.2</v>
      </c>
      <c r="D7" s="5">
        <f>AVERAGE(kcs!V152:V181)</f>
        <v>0</v>
      </c>
      <c r="E7" s="5">
        <f>AVERAGE(kcs!AA152:AA181)</f>
        <v>0</v>
      </c>
      <c r="F7" s="5">
        <f t="shared" si="0"/>
        <v>7.9795275590551178</v>
      </c>
      <c r="G7" s="5">
        <f>VLOOKUP(county,ppt.county!$D$2:$T$101,11)/100</f>
        <v>4.1399999999999997</v>
      </c>
      <c r="H7" s="5">
        <f t="shared" si="1"/>
        <v>2.3822399575544546</v>
      </c>
      <c r="I7" s="5">
        <f t="shared" si="2"/>
        <v>5.5972876015006632</v>
      </c>
      <c r="J7" s="5">
        <f t="shared" si="3"/>
        <v>6.9966095018758283</v>
      </c>
      <c r="K7" s="5">
        <f t="shared" si="4"/>
        <v>0</v>
      </c>
      <c r="L7" s="5">
        <f t="shared" si="5"/>
        <v>1.5254647138548461</v>
      </c>
      <c r="M7" s="5">
        <f t="shared" si="6"/>
        <v>0</v>
      </c>
      <c r="N7" s="5">
        <f t="shared" si="7"/>
        <v>0</v>
      </c>
      <c r="O7" s="5">
        <f t="shared" si="8"/>
        <v>0</v>
      </c>
      <c r="P7" s="5">
        <f t="shared" si="9"/>
        <v>1.5254647138548461</v>
      </c>
      <c r="Q7" s="5">
        <f t="shared" si="10"/>
        <v>0</v>
      </c>
      <c r="R7" s="5">
        <f t="shared" si="11"/>
        <v>0</v>
      </c>
      <c r="S7" s="5">
        <f t="shared" si="12"/>
        <v>6.9966095018758274</v>
      </c>
      <c r="T7" s="8">
        <f t="shared" si="13"/>
        <v>58.305079182298556</v>
      </c>
      <c r="U7">
        <f>IF(Livestock.total&lt;&gt;0,(VLOOKUP(Livetype1,'input.form.data'!$AD$2:$AE$11,2)*VALUE(Livestock1)+VLOOKUP(Livetype2,'input.form.data'!$AD$2:$AE$11,2)*VALUE(Livestock2)+VLOOKUP(Livetype3,'input.form.data'!$AD$2:$AE$11,2)*VALUE(Livestock3)+VLOOKUP(Livetype4,'input.form.data'!$AD$2:$AE$11,2)*VALUE(Livestock4))*VLOOKUP(A7,ET.region!$N$4:$O$15,2),0)</f>
        <v>0</v>
      </c>
      <c r="V7">
        <f t="shared" si="14"/>
        <v>0</v>
      </c>
    </row>
    <row r="8" spans="1:25" x14ac:dyDescent="0.3">
      <c r="A8">
        <v>7</v>
      </c>
      <c r="B8" s="5">
        <f>VLOOKUP(county,ET.county!$A$2:$N$101,A8+2,FALSE)</f>
        <v>6.9322834645669289</v>
      </c>
      <c r="C8" s="5">
        <f>AVERAGE(kcs!Q182:Q212)</f>
        <v>0.99032258064516143</v>
      </c>
      <c r="D8" s="5">
        <f>AVERAGE(kcs!V182:V212)</f>
        <v>0</v>
      </c>
      <c r="E8" s="5">
        <f>AVERAGE(kcs!AA182:AA212)</f>
        <v>0</v>
      </c>
      <c r="F8" s="5">
        <f t="shared" si="0"/>
        <v>6.8651968503937013</v>
      </c>
      <c r="G8" s="5">
        <f>VLOOKUP(county,ppt.county!$D$2:$T$101,12)/100</f>
        <v>4.0599999999999996</v>
      </c>
      <c r="H8" s="5">
        <f t="shared" si="1"/>
        <v>2.2008619225970842</v>
      </c>
      <c r="I8" s="5">
        <f t="shared" si="2"/>
        <v>4.6643349277966166</v>
      </c>
      <c r="J8" s="5">
        <f t="shared" si="3"/>
        <v>5.8304186597457708</v>
      </c>
      <c r="K8" s="5">
        <f t="shared" si="4"/>
        <v>0</v>
      </c>
      <c r="L8" s="5">
        <f t="shared" si="5"/>
        <v>1.4998337466191716</v>
      </c>
      <c r="M8" s="5">
        <f t="shared" si="6"/>
        <v>0</v>
      </c>
      <c r="N8" s="5">
        <f t="shared" si="7"/>
        <v>0</v>
      </c>
      <c r="O8" s="5">
        <f t="shared" si="8"/>
        <v>0</v>
      </c>
      <c r="P8" s="5">
        <f t="shared" si="9"/>
        <v>1.4998337466191716</v>
      </c>
      <c r="Q8" s="5">
        <f t="shared" si="10"/>
        <v>0</v>
      </c>
      <c r="R8" s="5">
        <f t="shared" si="11"/>
        <v>0</v>
      </c>
      <c r="S8" s="5">
        <f t="shared" si="12"/>
        <v>5.8304186597457708</v>
      </c>
      <c r="T8" s="8">
        <f t="shared" si="13"/>
        <v>48.586822164548089</v>
      </c>
      <c r="U8">
        <f>IF(Livestock.total&lt;&gt;0,(VLOOKUP(Livetype1,'input.form.data'!$AD$2:$AE$11,2)*VALUE(Livestock1)+VLOOKUP(Livetype2,'input.form.data'!$AD$2:$AE$11,2)*VALUE(Livestock2)+VLOOKUP(Livetype3,'input.form.data'!$AD$2:$AE$11,2)*VALUE(Livestock3)+VLOOKUP(Livetype4,'input.form.data'!$AD$2:$AE$11,2)*VALUE(Livestock4))*VLOOKUP(A8,ET.region!$N$4:$O$15,2),0)</f>
        <v>0</v>
      </c>
      <c r="V8">
        <f t="shared" si="14"/>
        <v>0</v>
      </c>
    </row>
    <row r="9" spans="1:25" x14ac:dyDescent="0.3">
      <c r="A9">
        <v>8</v>
      </c>
      <c r="B9" s="5">
        <f>VLOOKUP(county,ET.county!$A$2:$N$101,A9+2,FALSE)</f>
        <v>6.1755905511811022</v>
      </c>
      <c r="C9" s="5">
        <f>AVERAGE(kcs!Q213:Q243)</f>
        <v>0.1032258064516129</v>
      </c>
      <c r="D9" s="5">
        <f>AVERAGE(kcs!V213:V243)</f>
        <v>0</v>
      </c>
      <c r="E9" s="5">
        <f>AVERAGE(kcs!AA213:AA243)</f>
        <v>0</v>
      </c>
      <c r="F9" s="5">
        <f t="shared" si="0"/>
        <v>0.63748031496062996</v>
      </c>
      <c r="G9" s="5">
        <f>VLOOKUP(county,ppt.county!$D$2:$T$101,13)/100</f>
        <v>4.12</v>
      </c>
      <c r="H9" s="5">
        <f t="shared" si="1"/>
        <v>1.5741339563053163</v>
      </c>
      <c r="I9" s="5">
        <f t="shared" si="2"/>
        <v>0</v>
      </c>
      <c r="J9" s="5">
        <f t="shared" si="3"/>
        <v>0</v>
      </c>
      <c r="K9" s="5">
        <f t="shared" si="4"/>
        <v>0</v>
      </c>
      <c r="L9" s="5">
        <f t="shared" si="5"/>
        <v>1.5190652008840462</v>
      </c>
      <c r="M9" s="5">
        <f t="shared" si="6"/>
        <v>0</v>
      </c>
      <c r="N9" s="5">
        <f t="shared" si="7"/>
        <v>0</v>
      </c>
      <c r="O9" s="5">
        <f t="shared" si="8"/>
        <v>0</v>
      </c>
      <c r="P9" s="5">
        <f t="shared" si="9"/>
        <v>1.5190652008840462</v>
      </c>
      <c r="Q9" s="5">
        <f t="shared" si="10"/>
        <v>0</v>
      </c>
      <c r="R9" s="5">
        <f t="shared" si="11"/>
        <v>0</v>
      </c>
      <c r="S9" s="5">
        <f t="shared" si="12"/>
        <v>0</v>
      </c>
      <c r="T9" s="8">
        <f t="shared" si="13"/>
        <v>0</v>
      </c>
      <c r="U9">
        <f>IF(Livestock.total&lt;&gt;0,(VLOOKUP(Livetype1,'input.form.data'!$AD$2:$AE$11,2)*VALUE(Livestock1)+VLOOKUP(Livetype2,'input.form.data'!$AD$2:$AE$11,2)*VALUE(Livestock2)+VLOOKUP(Livetype3,'input.form.data'!$AD$2:$AE$11,2)*VALUE(Livestock3)+VLOOKUP(Livetype4,'input.form.data'!$AD$2:$AE$11,2)*VALUE(Livestock4))*VLOOKUP(A9,ET.region!$N$4:$O$15,2),0)</f>
        <v>0</v>
      </c>
      <c r="V9">
        <f t="shared" si="14"/>
        <v>0</v>
      </c>
    </row>
    <row r="10" spans="1:25" x14ac:dyDescent="0.3">
      <c r="A10">
        <v>9</v>
      </c>
      <c r="B10" s="5">
        <f>VLOOKUP(county,ET.county!$A$2:$N$101,A10+2,FALSE)</f>
        <v>4.7125984251968509</v>
      </c>
      <c r="C10" s="5">
        <f>AVERAGE(kcs!Q244:Q274)</f>
        <v>0</v>
      </c>
      <c r="D10" s="5">
        <f>AVERAGE(kcs!V244:V274)</f>
        <v>0</v>
      </c>
      <c r="E10" s="5">
        <f>AVERAGE(kcs!AA244:AA274)</f>
        <v>0</v>
      </c>
      <c r="F10" s="5">
        <f t="shared" si="0"/>
        <v>0</v>
      </c>
      <c r="G10" s="5">
        <f>VLOOKUP(county,ppt.county!$D$2:$T$101,14)/100</f>
        <v>3.82</v>
      </c>
      <c r="H10" s="5">
        <f t="shared" si="1"/>
        <v>1.4223985206265646</v>
      </c>
      <c r="I10" s="5">
        <f t="shared" si="2"/>
        <v>0</v>
      </c>
      <c r="J10" s="5">
        <f t="shared" si="3"/>
        <v>0</v>
      </c>
      <c r="K10" s="5">
        <f t="shared" si="4"/>
        <v>0</v>
      </c>
      <c r="L10" s="5">
        <f t="shared" si="5"/>
        <v>1.4223985206265646</v>
      </c>
      <c r="M10" s="5">
        <f t="shared" si="6"/>
        <v>0</v>
      </c>
      <c r="N10" s="5">
        <f t="shared" si="7"/>
        <v>0</v>
      </c>
      <c r="O10" s="5">
        <f t="shared" si="8"/>
        <v>0</v>
      </c>
      <c r="P10" s="5">
        <f t="shared" si="9"/>
        <v>1.4223985206265646</v>
      </c>
      <c r="Q10" s="5">
        <f t="shared" si="10"/>
        <v>0</v>
      </c>
      <c r="R10" s="5">
        <f t="shared" si="11"/>
        <v>0</v>
      </c>
      <c r="S10" s="5">
        <f t="shared" si="12"/>
        <v>0</v>
      </c>
      <c r="T10" s="8">
        <f t="shared" si="13"/>
        <v>0</v>
      </c>
      <c r="U10">
        <f>IF(Livestock.total&lt;&gt;0,(VLOOKUP(Livetype1,'input.form.data'!$AD$2:$AE$11,2)*VALUE(Livestock1)+VLOOKUP(Livetype2,'input.form.data'!$AD$2:$AE$11,2)*VALUE(Livestock2)+VLOOKUP(Livetype3,'input.form.data'!$AD$2:$AE$11,2)*VALUE(Livestock3)+VLOOKUP(Livetype4,'input.form.data'!$AD$2:$AE$11,2)*VALUE(Livestock4))*VLOOKUP(A10,ET.region!$N$4:$O$15,2),0)</f>
        <v>0</v>
      </c>
      <c r="V10">
        <f t="shared" si="14"/>
        <v>0</v>
      </c>
    </row>
    <row r="11" spans="1:25" x14ac:dyDescent="0.3">
      <c r="A11">
        <v>10</v>
      </c>
      <c r="B11" s="5">
        <f>VLOOKUP(county,ET.county!$A$2:$N$101,A11+2,FALSE)</f>
        <v>3.4173228346456694</v>
      </c>
      <c r="C11" s="5">
        <f>AVERAGE(kcs!Q275:Q305)</f>
        <v>0</v>
      </c>
      <c r="D11" s="5">
        <f>AVERAGE(kcs!V275:V305)</f>
        <v>0</v>
      </c>
      <c r="E11" s="5">
        <f>AVERAGE(kcs!AA275:AA305)</f>
        <v>0</v>
      </c>
      <c r="F11" s="5">
        <f t="shared" si="0"/>
        <v>0</v>
      </c>
      <c r="G11" s="5">
        <f>VLOOKUP(county,ppt.county!$D$2:$T$101,15)/100</f>
        <v>3.23</v>
      </c>
      <c r="H11" s="5">
        <f t="shared" si="1"/>
        <v>1.2282338965660811</v>
      </c>
      <c r="I11" s="5">
        <f t="shared" si="2"/>
        <v>0</v>
      </c>
      <c r="J11" s="5">
        <f t="shared" si="3"/>
        <v>0</v>
      </c>
      <c r="K11" s="5">
        <f t="shared" si="4"/>
        <v>0</v>
      </c>
      <c r="L11" s="5">
        <f t="shared" si="5"/>
        <v>1.2282338965660811</v>
      </c>
      <c r="M11" s="5">
        <f t="shared" si="6"/>
        <v>0</v>
      </c>
      <c r="N11" s="5">
        <f t="shared" si="7"/>
        <v>0</v>
      </c>
      <c r="O11" s="5">
        <f t="shared" si="8"/>
        <v>0</v>
      </c>
      <c r="P11" s="5">
        <f t="shared" si="9"/>
        <v>1.2282338965660811</v>
      </c>
      <c r="Q11" s="5">
        <f t="shared" si="10"/>
        <v>0</v>
      </c>
      <c r="R11" s="5">
        <f t="shared" si="11"/>
        <v>0</v>
      </c>
      <c r="S11" s="5">
        <f t="shared" si="12"/>
        <v>0</v>
      </c>
      <c r="T11" s="8">
        <f t="shared" si="13"/>
        <v>0</v>
      </c>
      <c r="U11">
        <f>IF(Livestock.total&lt;&gt;0,(VLOOKUP(Livetype1,'input.form.data'!$AD$2:$AE$11,2)*VALUE(Livestock1)+VLOOKUP(Livetype2,'input.form.data'!$AD$2:$AE$11,2)*VALUE(Livestock2)+VLOOKUP(Livetype3,'input.form.data'!$AD$2:$AE$11,2)*VALUE(Livestock3)+VLOOKUP(Livetype4,'input.form.data'!$AD$2:$AE$11,2)*VALUE(Livestock4))*VLOOKUP(A11,ET.region!$N$4:$O$15,2),0)</f>
        <v>0</v>
      </c>
      <c r="V11">
        <f t="shared" si="14"/>
        <v>0</v>
      </c>
    </row>
    <row r="12" spans="1:25" x14ac:dyDescent="0.3">
      <c r="A12">
        <v>11</v>
      </c>
      <c r="B12" s="5">
        <f>VLOOKUP(county,ET.county!$A$2:$N$101,A12+2,FALSE)</f>
        <v>2.1141732283464569</v>
      </c>
      <c r="C12" s="5">
        <f>AVERAGE(kcs!Q306:Q335)</f>
        <v>0</v>
      </c>
      <c r="D12" s="5">
        <f>AVERAGE(kcs!V306:V335)</f>
        <v>0</v>
      </c>
      <c r="E12" s="5">
        <f>AVERAGE(kcs!AA306:AA335)</f>
        <v>0</v>
      </c>
      <c r="F12" s="5">
        <f t="shared" si="0"/>
        <v>0</v>
      </c>
      <c r="G12" s="5">
        <f>VLOOKUP(county,ppt.county!$D$2:$T$101,16)/100</f>
        <v>3.41</v>
      </c>
      <c r="H12" s="5">
        <f t="shared" si="1"/>
        <v>1.2880849890701827</v>
      </c>
      <c r="I12" s="5">
        <f t="shared" si="2"/>
        <v>0</v>
      </c>
      <c r="J12" s="5">
        <f t="shared" si="3"/>
        <v>0</v>
      </c>
      <c r="K12" s="5">
        <f t="shared" si="4"/>
        <v>0</v>
      </c>
      <c r="L12" s="5">
        <f t="shared" si="5"/>
        <v>1.2880849890701827</v>
      </c>
      <c r="M12" s="5">
        <f t="shared" si="6"/>
        <v>0</v>
      </c>
      <c r="N12" s="5">
        <f t="shared" si="7"/>
        <v>0</v>
      </c>
      <c r="O12" s="5">
        <f t="shared" si="8"/>
        <v>0</v>
      </c>
      <c r="P12" s="5">
        <f t="shared" si="9"/>
        <v>1.2880849890701827</v>
      </c>
      <c r="Q12" s="5">
        <f t="shared" si="10"/>
        <v>0</v>
      </c>
      <c r="R12" s="5">
        <f t="shared" si="11"/>
        <v>0</v>
      </c>
      <c r="S12" s="5">
        <f t="shared" si="12"/>
        <v>0</v>
      </c>
      <c r="T12" s="8">
        <f t="shared" si="13"/>
        <v>0</v>
      </c>
      <c r="U12">
        <f>IF(Livestock.total&lt;&gt;0,(VLOOKUP(Livetype1,'input.form.data'!$AD$2:$AE$11,2)*VALUE(Livestock1)+VLOOKUP(Livetype2,'input.form.data'!$AD$2:$AE$11,2)*VALUE(Livestock2)+VLOOKUP(Livetype3,'input.form.data'!$AD$2:$AE$11,2)*VALUE(Livestock3)+VLOOKUP(Livetype4,'input.form.data'!$AD$2:$AE$11,2)*VALUE(Livestock4))*VLOOKUP(A12,ET.region!$N$4:$O$15,2),0)</f>
        <v>0</v>
      </c>
      <c r="V12">
        <f t="shared" si="14"/>
        <v>0</v>
      </c>
    </row>
    <row r="13" spans="1:25" x14ac:dyDescent="0.3">
      <c r="A13">
        <v>12</v>
      </c>
      <c r="B13" s="5">
        <f>VLOOKUP(county,ET.county!$A$2:$N$101,A13+2,FALSE)</f>
        <v>1.4523622047244096</v>
      </c>
      <c r="C13" s="5">
        <f>AVERAGE(kcs!Q336:Q365)</f>
        <v>0</v>
      </c>
      <c r="D13" s="5">
        <f>AVERAGE(kcs!V336:V365)</f>
        <v>0</v>
      </c>
      <c r="E13" s="5">
        <f>AVERAGE(kcs!AA336:AA365)</f>
        <v>0</v>
      </c>
      <c r="F13" s="5">
        <f t="shared" si="0"/>
        <v>0</v>
      </c>
      <c r="G13" s="5">
        <f>VLOOKUP(county,ppt.county!$D$2:$T$101,17)/100</f>
        <v>3.28</v>
      </c>
      <c r="H13" s="5">
        <f t="shared" si="1"/>
        <v>1.2449167147965852</v>
      </c>
      <c r="I13" s="5">
        <f t="shared" si="2"/>
        <v>0</v>
      </c>
      <c r="J13" s="5">
        <f t="shared" si="3"/>
        <v>0</v>
      </c>
      <c r="K13" s="5">
        <f t="shared" si="4"/>
        <v>0</v>
      </c>
      <c r="L13" s="5">
        <f t="shared" si="5"/>
        <v>1.2449167147965852</v>
      </c>
      <c r="M13" s="5">
        <f t="shared" si="6"/>
        <v>0</v>
      </c>
      <c r="N13" s="5">
        <f t="shared" si="7"/>
        <v>0</v>
      </c>
      <c r="O13" s="5">
        <f t="shared" si="8"/>
        <v>0</v>
      </c>
      <c r="P13" s="5">
        <f t="shared" si="9"/>
        <v>1.2449167147965852</v>
      </c>
      <c r="Q13" s="5">
        <f t="shared" si="10"/>
        <v>0</v>
      </c>
      <c r="R13" s="5">
        <f t="shared" si="11"/>
        <v>0</v>
      </c>
      <c r="S13" s="5">
        <f t="shared" si="12"/>
        <v>0</v>
      </c>
      <c r="T13" s="8">
        <f t="shared" si="13"/>
        <v>0</v>
      </c>
      <c r="U13">
        <f>IF(Livestock.total&lt;&gt;0,(VLOOKUP(Livetype1,'input.form.data'!$AD$2:$AE$11,2)*VALUE(Livestock1)+VLOOKUP(Livetype2,'input.form.data'!$AD$2:$AE$11,2)*VALUE(Livestock2)+VLOOKUP(Livetype3,'input.form.data'!$AD$2:$AE$11,2)*VALUE(Livestock3)+VLOOKUP(Livetype4,'input.form.data'!$AD$2:$AE$11,2)*VALUE(Livestock4))*VLOOKUP(A13,ET.region!$N$4:$O$15,2),0)</f>
        <v>0</v>
      </c>
      <c r="V13">
        <f t="shared" si="14"/>
        <v>0</v>
      </c>
    </row>
    <row r="15" spans="1:25" x14ac:dyDescent="0.3">
      <c r="A15" t="s">
        <v>935</v>
      </c>
      <c r="F15" s="5">
        <f>SUM(F2:F13)</f>
        <v>22.458959505061866</v>
      </c>
      <c r="G15" s="5">
        <f t="shared" ref="G15:V15" si="15">SUM(G2:G13)</f>
        <v>44.33</v>
      </c>
      <c r="H15" s="5">
        <f t="shared" si="15"/>
        <v>18.738315953435947</v>
      </c>
      <c r="I15" s="5">
        <f t="shared" si="15"/>
        <v>14.072129656058248</v>
      </c>
      <c r="J15" s="5">
        <f t="shared" si="15"/>
        <v>17.590162070072811</v>
      </c>
      <c r="K15" s="5">
        <f t="shared" si="15"/>
        <v>0</v>
      </c>
      <c r="L15" s="5">
        <f t="shared" si="15"/>
        <v>16.566847960238217</v>
      </c>
      <c r="M15" s="5">
        <f t="shared" si="15"/>
        <v>0</v>
      </c>
      <c r="N15" s="5">
        <f t="shared" si="15"/>
        <v>0</v>
      </c>
      <c r="O15" s="5">
        <f t="shared" si="15"/>
        <v>0</v>
      </c>
      <c r="P15" s="5">
        <f t="shared" si="15"/>
        <v>16.566847960238217</v>
      </c>
      <c r="Q15" s="5">
        <f t="shared" si="15"/>
        <v>0</v>
      </c>
      <c r="R15" s="5">
        <f t="shared" si="15"/>
        <v>0</v>
      </c>
      <c r="S15" s="5">
        <f t="shared" si="15"/>
        <v>17.590162070072807</v>
      </c>
      <c r="T15" s="8">
        <f t="shared" si="15"/>
        <v>146.5846839172734</v>
      </c>
      <c r="U15" s="8">
        <f t="shared" si="15"/>
        <v>0</v>
      </c>
      <c r="V15" s="8">
        <f t="shared" si="15"/>
        <v>0</v>
      </c>
    </row>
  </sheetData>
  <sheetProtection sheet="1" objects="1" scenarios="1"/>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3"/>
  <sheetViews>
    <sheetView workbookViewId="0">
      <selection activeCell="E23" sqref="E23"/>
    </sheetView>
  </sheetViews>
  <sheetFormatPr defaultRowHeight="14.4" x14ac:dyDescent="0.3"/>
  <sheetData>
    <row r="1" spans="1:14" x14ac:dyDescent="0.3">
      <c r="A1" t="s">
        <v>755</v>
      </c>
      <c r="B1" t="s">
        <v>781</v>
      </c>
      <c r="C1" t="s">
        <v>726</v>
      </c>
      <c r="D1" t="s">
        <v>764</v>
      </c>
      <c r="E1" t="s">
        <v>756</v>
      </c>
      <c r="F1" t="s">
        <v>782</v>
      </c>
      <c r="G1" t="s">
        <v>727</v>
      </c>
      <c r="H1" t="s">
        <v>773</v>
      </c>
      <c r="I1" t="s">
        <v>757</v>
      </c>
      <c r="J1" t="s">
        <v>783</v>
      </c>
      <c r="K1" t="s">
        <v>786</v>
      </c>
      <c r="L1" t="s">
        <v>785</v>
      </c>
      <c r="M1" t="s">
        <v>933</v>
      </c>
      <c r="N1" t="s">
        <v>934</v>
      </c>
    </row>
    <row r="2" spans="1:14" x14ac:dyDescent="0.3">
      <c r="A2" s="5">
        <f t="shared" ref="A2:A13" si="0">MAX(0,etc.crop1-eff.ppt.crop1)</f>
        <v>0</v>
      </c>
      <c r="B2" s="5">
        <f t="shared" ref="B2:B13" si="1">+A2/(eff.1/100)</f>
        <v>0</v>
      </c>
      <c r="C2" s="5">
        <f t="shared" ref="C2:C13" si="2">ref.et*kc.crop.2</f>
        <v>0</v>
      </c>
      <c r="D2" s="5">
        <f t="shared" ref="D2:D13" si="3">SF*(0.70917*ppt^0.82416-0.11556)*10^(0.02426*etc.crop2)</f>
        <v>1.3473828429253909</v>
      </c>
      <c r="E2" s="5">
        <f t="shared" ref="E2:E13" si="4">MAX(0,etc.crop2-eff.ppt.crop2)</f>
        <v>0</v>
      </c>
      <c r="F2" s="5">
        <f t="shared" ref="F2:F13" si="5">+E2/(eff.2/100)</f>
        <v>0</v>
      </c>
      <c r="G2" s="5">
        <f t="shared" ref="G2:G13" si="6">ref.et*kc.crop.3</f>
        <v>0</v>
      </c>
      <c r="H2" s="5">
        <f t="shared" ref="H2:H13" si="7">SF*(0.70917*ppt^0.82416-0.11556)*10^(0.02426*etc.crop3)</f>
        <v>1.3473828429253909</v>
      </c>
      <c r="I2" s="5">
        <f t="shared" ref="I2:I13" si="8">MAX(0,etc.crop3-eff.ppt.crop3)</f>
        <v>0</v>
      </c>
      <c r="J2" s="5">
        <f t="shared" ref="J2:J13" si="9">+I2/(eff.3/100)</f>
        <v>0</v>
      </c>
      <c r="K2" s="5">
        <f t="shared" ref="K2:K13" si="10">IF(total.acres&lt;&gt;0,GIR.crop.1*VALUE(Acres1)/total.acres+GIR.crop.2*VALUE(Acres2)/total.acres+GIR.crop.3*VALUE(Acres3)/total.acres,0)</f>
        <v>0</v>
      </c>
      <c r="L2" s="8">
        <f t="shared" ref="L2:L13" si="11">IF(ISNA(wgtd.GIR),0,wgtd.GIR/12*total.acres)</f>
        <v>0</v>
      </c>
      <c r="M2">
        <f>IF(Livestock.total&lt;&gt;0,(VLOOKUP(Livetype1,'input.form.data'!$AD$2:$AE$11,2,FALSE)*VALUE(Livestock1)+VLOOKUP(Livetype2,'input.form.data'!$AD$2:$AE$11,2,FALSE)*VALUE(Livestock2)+VLOOKUP(Livetype3,'input.form.data'!$AD$2:$AE$11,2,FALSE)*VALUE(Livestock3)+VLOOKUP(Livetype4,'input.form.data'!$AD$2:$AE$11,2,FALSE)*VALUE(Livestock4))*VLOOKUP(#REF!,ET.region!$N$4:$O$15,2,FALSE),0)</f>
        <v>0</v>
      </c>
      <c r="N2">
        <f t="shared" ref="N2:N13" si="12">IF(ISNA(livestock.gall),0,livestock.gall/(27154*12))</f>
        <v>0</v>
      </c>
    </row>
    <row r="3" spans="1:14" x14ac:dyDescent="0.3">
      <c r="A3" s="5">
        <f t="shared" si="0"/>
        <v>0</v>
      </c>
      <c r="B3" s="5">
        <f t="shared" si="1"/>
        <v>0</v>
      </c>
      <c r="C3" s="5">
        <f t="shared" si="2"/>
        <v>0</v>
      </c>
      <c r="D3" s="5">
        <f t="shared" si="3"/>
        <v>1.3866235848952595</v>
      </c>
      <c r="E3" s="5">
        <f t="shared" si="4"/>
        <v>0</v>
      </c>
      <c r="F3" s="5">
        <f t="shared" si="5"/>
        <v>0</v>
      </c>
      <c r="G3" s="5">
        <f t="shared" si="6"/>
        <v>0</v>
      </c>
      <c r="H3" s="5">
        <f t="shared" si="7"/>
        <v>1.3866235848952595</v>
      </c>
      <c r="I3" s="5">
        <f t="shared" si="8"/>
        <v>0</v>
      </c>
      <c r="J3" s="5">
        <f t="shared" si="9"/>
        <v>0</v>
      </c>
      <c r="K3" s="5">
        <f t="shared" si="10"/>
        <v>0</v>
      </c>
      <c r="L3" s="8">
        <f t="shared" si="11"/>
        <v>0</v>
      </c>
      <c r="M3">
        <f>IF(Livestock.total&lt;&gt;0,(VLOOKUP(Livetype1,'input.form.data'!$AD$2:$AE$11,2)*VALUE(Livestock1)+VLOOKUP(Livetype2,'input.form.data'!$AD$2:$AE$11,2)*VALUE(Livestock2)+VLOOKUP(Livetype3,'input.form.data'!$AD$2:$AE$11,2)*VALUE(Livestock3)+VLOOKUP(Livetype4,'input.form.data'!$AD$2:$AE$11,2)*VALUE(Livestock4))*VLOOKUP(#REF!,ET.region!$N$4:$O$15,2),0)</f>
        <v>0</v>
      </c>
      <c r="N3">
        <f t="shared" si="12"/>
        <v>0</v>
      </c>
    </row>
    <row r="4" spans="1:14" x14ac:dyDescent="0.3">
      <c r="A4" s="5">
        <f t="shared" si="0"/>
        <v>0</v>
      </c>
      <c r="B4" s="5">
        <f t="shared" si="1"/>
        <v>0</v>
      </c>
      <c r="C4" s="5">
        <f t="shared" si="2"/>
        <v>0</v>
      </c>
      <c r="D4" s="5">
        <f t="shared" si="3"/>
        <v>1.4934121844278436</v>
      </c>
      <c r="E4" s="5">
        <f t="shared" si="4"/>
        <v>0</v>
      </c>
      <c r="F4" s="5">
        <f t="shared" si="5"/>
        <v>0</v>
      </c>
      <c r="G4" s="5">
        <f t="shared" si="6"/>
        <v>0</v>
      </c>
      <c r="H4" s="5">
        <f t="shared" si="7"/>
        <v>1.4934121844278436</v>
      </c>
      <c r="I4" s="5">
        <f t="shared" si="8"/>
        <v>0</v>
      </c>
      <c r="J4" s="5">
        <f t="shared" si="9"/>
        <v>0</v>
      </c>
      <c r="K4" s="5">
        <f t="shared" si="10"/>
        <v>0</v>
      </c>
      <c r="L4" s="8">
        <f t="shared" si="11"/>
        <v>0</v>
      </c>
      <c r="M4">
        <f>IF(Livestock.total&lt;&gt;0,(VLOOKUP(Livetype1,'input.form.data'!$AD$2:$AE$11,2)*VALUE(Livestock1)+VLOOKUP(Livetype2,'input.form.data'!$AD$2:$AE$11,2)*VALUE(Livestock2)+VLOOKUP(Livetype3,'input.form.data'!$AD$2:$AE$11,2)*VALUE(Livestock3)+VLOOKUP(Livetype4,'input.form.data'!$AD$2:$AE$11,2)*VALUE(Livestock4))*VLOOKUP(#REF!,ET.region!$N$4:$O$15,2),0)</f>
        <v>0</v>
      </c>
      <c r="N4">
        <f t="shared" si="12"/>
        <v>0</v>
      </c>
    </row>
    <row r="5" spans="1:14" x14ac:dyDescent="0.3">
      <c r="A5" s="5">
        <f t="shared" si="0"/>
        <v>0</v>
      </c>
      <c r="B5" s="5">
        <f t="shared" si="1"/>
        <v>0</v>
      </c>
      <c r="C5" s="5">
        <f t="shared" si="2"/>
        <v>0</v>
      </c>
      <c r="D5" s="5">
        <f t="shared" si="3"/>
        <v>1.3898834825526993</v>
      </c>
      <c r="E5" s="5">
        <f t="shared" si="4"/>
        <v>0</v>
      </c>
      <c r="F5" s="5">
        <f t="shared" si="5"/>
        <v>0</v>
      </c>
      <c r="G5" s="5">
        <f t="shared" si="6"/>
        <v>0</v>
      </c>
      <c r="H5" s="5">
        <f t="shared" si="7"/>
        <v>1.3898834825526993</v>
      </c>
      <c r="I5" s="5">
        <f t="shared" si="8"/>
        <v>0</v>
      </c>
      <c r="J5" s="5">
        <f t="shared" si="9"/>
        <v>0</v>
      </c>
      <c r="K5" s="5">
        <f t="shared" si="10"/>
        <v>0</v>
      </c>
      <c r="L5" s="8">
        <f t="shared" si="11"/>
        <v>0</v>
      </c>
      <c r="M5">
        <f>IF(Livestock.total&lt;&gt;0,(VLOOKUP(Livetype1,'input.form.data'!$AD$2:$AE$11,2)*VALUE(Livestock1)+VLOOKUP(Livetype2,'input.form.data'!$AD$2:$AE$11,2)*VALUE(Livestock2)+VLOOKUP(Livetype3,'input.form.data'!$AD$2:$AE$11,2)*VALUE(Livestock3)+VLOOKUP(Livetype4,'input.form.data'!$AD$2:$AE$11,2)*VALUE(Livestock4))*VLOOKUP(#REF!,ET.region!$N$4:$O$15,2),0)</f>
        <v>0</v>
      </c>
      <c r="N5">
        <f t="shared" si="12"/>
        <v>0</v>
      </c>
    </row>
    <row r="6" spans="1:14" x14ac:dyDescent="0.3">
      <c r="A6" s="5">
        <f t="shared" si="0"/>
        <v>3.8105071267609691</v>
      </c>
      <c r="B6" s="5">
        <f t="shared" si="1"/>
        <v>4.763133908451211</v>
      </c>
      <c r="C6" s="5">
        <f t="shared" si="2"/>
        <v>0</v>
      </c>
      <c r="D6" s="5">
        <f t="shared" si="3"/>
        <v>1.221548083019546</v>
      </c>
      <c r="E6" s="5">
        <f t="shared" si="4"/>
        <v>0</v>
      </c>
      <c r="F6" s="5">
        <f t="shared" si="5"/>
        <v>0</v>
      </c>
      <c r="G6" s="5">
        <f t="shared" si="6"/>
        <v>0</v>
      </c>
      <c r="H6" s="5">
        <f t="shared" si="7"/>
        <v>1.221548083019546</v>
      </c>
      <c r="I6" s="5">
        <f t="shared" si="8"/>
        <v>0</v>
      </c>
      <c r="J6" s="5">
        <f t="shared" si="9"/>
        <v>0</v>
      </c>
      <c r="K6" s="5">
        <f t="shared" si="10"/>
        <v>4.763133908451211</v>
      </c>
      <c r="L6" s="8">
        <f t="shared" si="11"/>
        <v>39.692782570426758</v>
      </c>
      <c r="M6">
        <f>IF(Livestock.total&lt;&gt;0,(VLOOKUP(Livetype1,'input.form.data'!$AD$2:$AE$11,2)*VALUE(Livestock1)+VLOOKUP(Livetype2,'input.form.data'!$AD$2:$AE$11,2)*VALUE(Livestock2)+VLOOKUP(Livetype3,'input.form.data'!$AD$2:$AE$11,2)*VALUE(Livestock3)+VLOOKUP(Livetype4,'input.form.data'!$AD$2:$AE$11,2)*VALUE(Livestock4))*VLOOKUP(#REF!,ET.region!$N$4:$O$15,2),0)</f>
        <v>0</v>
      </c>
      <c r="N6">
        <f t="shared" si="12"/>
        <v>0</v>
      </c>
    </row>
    <row r="7" spans="1:14" x14ac:dyDescent="0.3">
      <c r="A7" s="131">
        <f t="shared" si="0"/>
        <v>5.5972876015006632</v>
      </c>
      <c r="B7" s="133">
        <f t="shared" si="1"/>
        <v>6.9966095018758283</v>
      </c>
      <c r="C7" s="131">
        <f t="shared" si="2"/>
        <v>0</v>
      </c>
      <c r="D7" s="131">
        <f t="shared" si="3"/>
        <v>1.5254647138548461</v>
      </c>
      <c r="E7" s="131">
        <f t="shared" si="4"/>
        <v>0</v>
      </c>
      <c r="F7" s="133">
        <f t="shared" si="5"/>
        <v>0</v>
      </c>
      <c r="G7" s="131">
        <f t="shared" si="6"/>
        <v>0</v>
      </c>
      <c r="H7" s="131">
        <f t="shared" si="7"/>
        <v>1.5254647138548461</v>
      </c>
      <c r="I7" s="131">
        <f t="shared" si="8"/>
        <v>0</v>
      </c>
      <c r="J7" s="133">
        <f t="shared" si="9"/>
        <v>0</v>
      </c>
      <c r="K7" s="131">
        <f>IF(total.acres&lt;&gt;0,GIR.crop.1*VALUE(Acres1)/total.acres+GIR.crop.2*VALUE(Acres2)/total.acres+GIR.crop.3*VALUE(Acres3)/total.acres,0)</f>
        <v>6.9966095018758274</v>
      </c>
      <c r="L7" s="132">
        <f t="shared" si="11"/>
        <v>58.305079182298556</v>
      </c>
      <c r="M7">
        <f>IF(Livestock.total&lt;&gt;0,(VLOOKUP(Livetype1,'input.form.data'!$AD$2:$AE$11,2)*VALUE(Livestock1)+VLOOKUP(Livetype2,'input.form.data'!$AD$2:$AE$11,2)*VALUE(Livestock2)+VLOOKUP(Livetype3,'input.form.data'!$AD$2:$AE$11,2)*VALUE(Livestock3)+VLOOKUP(Livetype4,'input.form.data'!$AD$2:$AE$11,2)*VALUE(Livestock4))*VLOOKUP(#REF!,ET.region!$N$4:$O$15,2),0)</f>
        <v>0</v>
      </c>
      <c r="N7">
        <f t="shared" si="12"/>
        <v>0</v>
      </c>
    </row>
    <row r="8" spans="1:14" x14ac:dyDescent="0.3">
      <c r="A8" s="5">
        <f t="shared" si="0"/>
        <v>4.6643349277966166</v>
      </c>
      <c r="B8" s="5">
        <f t="shared" si="1"/>
        <v>5.8304186597457708</v>
      </c>
      <c r="C8" s="5">
        <f t="shared" si="2"/>
        <v>0</v>
      </c>
      <c r="D8" s="5">
        <f t="shared" si="3"/>
        <v>1.4998337466191716</v>
      </c>
      <c r="E8" s="5">
        <f t="shared" si="4"/>
        <v>0</v>
      </c>
      <c r="F8" s="5">
        <f t="shared" si="5"/>
        <v>0</v>
      </c>
      <c r="G8" s="5">
        <f t="shared" si="6"/>
        <v>0</v>
      </c>
      <c r="H8" s="5">
        <f t="shared" si="7"/>
        <v>1.4998337466191716</v>
      </c>
      <c r="I8" s="5">
        <f t="shared" si="8"/>
        <v>0</v>
      </c>
      <c r="J8" s="5">
        <f t="shared" si="9"/>
        <v>0</v>
      </c>
      <c r="K8" s="5">
        <f t="shared" si="10"/>
        <v>5.8304186597457708</v>
      </c>
      <c r="L8" s="8">
        <f t="shared" si="11"/>
        <v>48.586822164548089</v>
      </c>
      <c r="M8">
        <f>IF(Livestock.total&lt;&gt;0,(VLOOKUP(Livetype1,'input.form.data'!$AD$2:$AE$11,2)*VALUE(Livestock1)+VLOOKUP(Livetype2,'input.form.data'!$AD$2:$AE$11,2)*VALUE(Livestock2)+VLOOKUP(Livetype3,'input.form.data'!$AD$2:$AE$11,2)*VALUE(Livestock3)+VLOOKUP(Livetype4,'input.form.data'!$AD$2:$AE$11,2)*VALUE(Livestock4))*VLOOKUP(#REF!,ET.region!$N$4:$O$15,2),0)</f>
        <v>0</v>
      </c>
      <c r="N8">
        <f t="shared" si="12"/>
        <v>0</v>
      </c>
    </row>
    <row r="9" spans="1:14" x14ac:dyDescent="0.3">
      <c r="A9" s="5">
        <f t="shared" si="0"/>
        <v>0</v>
      </c>
      <c r="B9" s="5">
        <f t="shared" si="1"/>
        <v>0</v>
      </c>
      <c r="C9" s="5">
        <f t="shared" si="2"/>
        <v>0</v>
      </c>
      <c r="D9" s="5">
        <f t="shared" si="3"/>
        <v>1.5190652008840462</v>
      </c>
      <c r="E9" s="5">
        <f t="shared" si="4"/>
        <v>0</v>
      </c>
      <c r="F9" s="5">
        <f t="shared" si="5"/>
        <v>0</v>
      </c>
      <c r="G9" s="5">
        <f t="shared" si="6"/>
        <v>0</v>
      </c>
      <c r="H9" s="5">
        <f t="shared" si="7"/>
        <v>1.5190652008840462</v>
      </c>
      <c r="I9" s="5">
        <f t="shared" si="8"/>
        <v>0</v>
      </c>
      <c r="J9" s="5">
        <f t="shared" si="9"/>
        <v>0</v>
      </c>
      <c r="K9" s="5">
        <f t="shared" si="10"/>
        <v>0</v>
      </c>
      <c r="L9" s="8">
        <f t="shared" si="11"/>
        <v>0</v>
      </c>
      <c r="M9">
        <f>IF(Livestock.total&lt;&gt;0,(VLOOKUP(Livetype1,'input.form.data'!$AD$2:$AE$11,2)*VALUE(Livestock1)+VLOOKUP(Livetype2,'input.form.data'!$AD$2:$AE$11,2)*VALUE(Livestock2)+VLOOKUP(Livetype3,'input.form.data'!$AD$2:$AE$11,2)*VALUE(Livestock3)+VLOOKUP(Livetype4,'input.form.data'!$AD$2:$AE$11,2)*VALUE(Livestock4))*VLOOKUP(#REF!,ET.region!$N$4:$O$15,2),0)</f>
        <v>0</v>
      </c>
      <c r="N9">
        <f t="shared" si="12"/>
        <v>0</v>
      </c>
    </row>
    <row r="10" spans="1:14" x14ac:dyDescent="0.3">
      <c r="A10" s="5">
        <f t="shared" si="0"/>
        <v>0</v>
      </c>
      <c r="B10" s="5">
        <f t="shared" si="1"/>
        <v>0</v>
      </c>
      <c r="C10" s="5">
        <f t="shared" si="2"/>
        <v>0</v>
      </c>
      <c r="D10" s="5">
        <f t="shared" si="3"/>
        <v>1.4223985206265646</v>
      </c>
      <c r="E10" s="5">
        <f t="shared" si="4"/>
        <v>0</v>
      </c>
      <c r="F10" s="5">
        <f t="shared" si="5"/>
        <v>0</v>
      </c>
      <c r="G10" s="5">
        <f t="shared" si="6"/>
        <v>0</v>
      </c>
      <c r="H10" s="5">
        <f t="shared" si="7"/>
        <v>1.4223985206265646</v>
      </c>
      <c r="I10" s="5">
        <f t="shared" si="8"/>
        <v>0</v>
      </c>
      <c r="J10" s="5">
        <f t="shared" si="9"/>
        <v>0</v>
      </c>
      <c r="K10" s="5">
        <f t="shared" si="10"/>
        <v>0</v>
      </c>
      <c r="L10" s="8">
        <f t="shared" si="11"/>
        <v>0</v>
      </c>
      <c r="M10">
        <f>IF(Livestock.total&lt;&gt;0,(VLOOKUP(Livetype1,'input.form.data'!$AD$2:$AE$11,2)*VALUE(Livestock1)+VLOOKUP(Livetype2,'input.form.data'!$AD$2:$AE$11,2)*VALUE(Livestock2)+VLOOKUP(Livetype3,'input.form.data'!$AD$2:$AE$11,2)*VALUE(Livestock3)+VLOOKUP(Livetype4,'input.form.data'!$AD$2:$AE$11,2)*VALUE(Livestock4))*VLOOKUP(#REF!,ET.region!$N$4:$O$15,2),0)</f>
        <v>0</v>
      </c>
      <c r="N10">
        <f t="shared" si="12"/>
        <v>0</v>
      </c>
    </row>
    <row r="11" spans="1:14" x14ac:dyDescent="0.3">
      <c r="A11" s="5">
        <f t="shared" si="0"/>
        <v>0</v>
      </c>
      <c r="B11" s="5">
        <f t="shared" si="1"/>
        <v>0</v>
      </c>
      <c r="C11" s="5">
        <f t="shared" si="2"/>
        <v>0</v>
      </c>
      <c r="D11" s="5">
        <f t="shared" si="3"/>
        <v>1.2282338965660811</v>
      </c>
      <c r="E11" s="5">
        <f t="shared" si="4"/>
        <v>0</v>
      </c>
      <c r="F11" s="5">
        <f t="shared" si="5"/>
        <v>0</v>
      </c>
      <c r="G11" s="5">
        <f t="shared" si="6"/>
        <v>0</v>
      </c>
      <c r="H11" s="5">
        <f t="shared" si="7"/>
        <v>1.2282338965660811</v>
      </c>
      <c r="I11" s="5">
        <f t="shared" si="8"/>
        <v>0</v>
      </c>
      <c r="J11" s="5">
        <f t="shared" si="9"/>
        <v>0</v>
      </c>
      <c r="K11" s="5">
        <f t="shared" si="10"/>
        <v>0</v>
      </c>
      <c r="L11" s="8">
        <f t="shared" si="11"/>
        <v>0</v>
      </c>
      <c r="M11">
        <f>IF(Livestock.total&lt;&gt;0,(VLOOKUP(Livetype1,'input.form.data'!$AD$2:$AE$11,2)*VALUE(Livestock1)+VLOOKUP(Livetype2,'input.form.data'!$AD$2:$AE$11,2)*VALUE(Livestock2)+VLOOKUP(Livetype3,'input.form.data'!$AD$2:$AE$11,2)*VALUE(Livestock3)+VLOOKUP(Livetype4,'input.form.data'!$AD$2:$AE$11,2)*VALUE(Livestock4))*VLOOKUP(#REF!,ET.region!$N$4:$O$15,2),0)</f>
        <v>0</v>
      </c>
      <c r="N11">
        <f t="shared" si="12"/>
        <v>0</v>
      </c>
    </row>
    <row r="12" spans="1:14" x14ac:dyDescent="0.3">
      <c r="A12" s="5">
        <f t="shared" si="0"/>
        <v>0</v>
      </c>
      <c r="B12" s="5">
        <f t="shared" si="1"/>
        <v>0</v>
      </c>
      <c r="C12" s="5">
        <f t="shared" si="2"/>
        <v>0</v>
      </c>
      <c r="D12" s="5">
        <f t="shared" si="3"/>
        <v>1.2880849890701827</v>
      </c>
      <c r="E12" s="5">
        <f t="shared" si="4"/>
        <v>0</v>
      </c>
      <c r="F12" s="5">
        <f t="shared" si="5"/>
        <v>0</v>
      </c>
      <c r="G12" s="5">
        <f t="shared" si="6"/>
        <v>0</v>
      </c>
      <c r="H12" s="5">
        <f t="shared" si="7"/>
        <v>1.2880849890701827</v>
      </c>
      <c r="I12" s="5">
        <f t="shared" si="8"/>
        <v>0</v>
      </c>
      <c r="J12" s="5">
        <f t="shared" si="9"/>
        <v>0</v>
      </c>
      <c r="K12" s="5">
        <f t="shared" si="10"/>
        <v>0</v>
      </c>
      <c r="L12" s="8">
        <f t="shared" si="11"/>
        <v>0</v>
      </c>
      <c r="M12">
        <f>IF(Livestock.total&lt;&gt;0,(VLOOKUP(Livetype1,'input.form.data'!$AD$2:$AE$11,2)*VALUE(Livestock1)+VLOOKUP(Livetype2,'input.form.data'!$AD$2:$AE$11,2)*VALUE(Livestock2)+VLOOKUP(Livetype3,'input.form.data'!$AD$2:$AE$11,2)*VALUE(Livestock3)+VLOOKUP(Livetype4,'input.form.data'!$AD$2:$AE$11,2)*VALUE(Livestock4))*VLOOKUP(#REF!,ET.region!$N$4:$O$15,2),0)</f>
        <v>0</v>
      </c>
      <c r="N12">
        <f t="shared" si="12"/>
        <v>0</v>
      </c>
    </row>
    <row r="13" spans="1:14" x14ac:dyDescent="0.3">
      <c r="A13" s="5">
        <f t="shared" si="0"/>
        <v>0</v>
      </c>
      <c r="B13" s="5">
        <f t="shared" si="1"/>
        <v>0</v>
      </c>
      <c r="C13" s="5">
        <f t="shared" si="2"/>
        <v>0</v>
      </c>
      <c r="D13" s="5">
        <f t="shared" si="3"/>
        <v>1.2449167147965852</v>
      </c>
      <c r="E13" s="5">
        <f t="shared" si="4"/>
        <v>0</v>
      </c>
      <c r="F13" s="5">
        <f t="shared" si="5"/>
        <v>0</v>
      </c>
      <c r="G13" s="5">
        <f t="shared" si="6"/>
        <v>0</v>
      </c>
      <c r="H13" s="5">
        <f t="shared" si="7"/>
        <v>1.2449167147965852</v>
      </c>
      <c r="I13" s="5">
        <f t="shared" si="8"/>
        <v>0</v>
      </c>
      <c r="J13" s="5">
        <f t="shared" si="9"/>
        <v>0</v>
      </c>
      <c r="K13" s="5">
        <f t="shared" si="10"/>
        <v>0</v>
      </c>
      <c r="L13" s="8">
        <f t="shared" si="11"/>
        <v>0</v>
      </c>
      <c r="M13">
        <f>IF(Livestock.total&lt;&gt;0,(VLOOKUP(Livetype1,'input.form.data'!$AD$2:$AE$11,2)*VALUE(Livestock1)+VLOOKUP(Livetype2,'input.form.data'!$AD$2:$AE$11,2)*VALUE(Livestock2)+VLOOKUP(Livetype3,'input.form.data'!$AD$2:$AE$11,2)*VALUE(Livestock3)+VLOOKUP(Livetype4,'input.form.data'!$AD$2:$AE$11,2)*VALUE(Livestock4))*VLOOKUP(#REF!,ET.region!$N$4:$O$15,2),0)</f>
        <v>0</v>
      </c>
      <c r="N13">
        <f t="shared" si="12"/>
        <v>0</v>
      </c>
    </row>
    <row r="15" spans="1:14" x14ac:dyDescent="0.3">
      <c r="A15" s="5">
        <f t="shared" ref="A15:N15" si="13">SUM(A2:A13)</f>
        <v>14.072129656058248</v>
      </c>
      <c r="B15" s="5">
        <f t="shared" si="13"/>
        <v>17.590162070072811</v>
      </c>
      <c r="C15" s="5">
        <f t="shared" si="13"/>
        <v>0</v>
      </c>
      <c r="D15" s="5">
        <f t="shared" si="13"/>
        <v>16.566847960238217</v>
      </c>
      <c r="E15" s="5">
        <f t="shared" si="13"/>
        <v>0</v>
      </c>
      <c r="F15" s="5">
        <f t="shared" si="13"/>
        <v>0</v>
      </c>
      <c r="G15" s="5">
        <f t="shared" si="13"/>
        <v>0</v>
      </c>
      <c r="H15" s="5">
        <f t="shared" si="13"/>
        <v>16.566847960238217</v>
      </c>
      <c r="I15" s="5">
        <f t="shared" si="13"/>
        <v>0</v>
      </c>
      <c r="J15" s="5">
        <f t="shared" si="13"/>
        <v>0</v>
      </c>
      <c r="K15" s="5">
        <f t="shared" si="13"/>
        <v>17.590162070072807</v>
      </c>
      <c r="L15" s="8">
        <f t="shared" si="13"/>
        <v>146.5846839172734</v>
      </c>
      <c r="M15" s="8">
        <f t="shared" si="13"/>
        <v>0</v>
      </c>
      <c r="N15" s="8">
        <f t="shared" si="13"/>
        <v>0</v>
      </c>
    </row>
    <row r="21" spans="3:4" x14ac:dyDescent="0.3">
      <c r="D21">
        <f>7.2*7.5/28.7+6.02*14/28.7+5.13*7.2/28.7</f>
        <v>6.1050871080139375</v>
      </c>
    </row>
    <row r="23" spans="3:4" x14ac:dyDescent="0.3">
      <c r="C23">
        <f>7.6*7.2/28.8</f>
        <v>1.9</v>
      </c>
      <c r="D23">
        <f>14*6.02/28.8</f>
        <v>2.9263888888888889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K16"/>
  <sheetViews>
    <sheetView workbookViewId="0">
      <selection activeCell="K15" sqref="K15"/>
    </sheetView>
  </sheetViews>
  <sheetFormatPr defaultRowHeight="14.4" x14ac:dyDescent="0.3"/>
  <sheetData>
    <row r="1" spans="1:11" x14ac:dyDescent="0.3">
      <c r="A1" t="s">
        <v>396</v>
      </c>
      <c r="B1" t="s">
        <v>885</v>
      </c>
      <c r="C1" t="s">
        <v>888</v>
      </c>
      <c r="D1" t="s">
        <v>889</v>
      </c>
      <c r="E1" t="s">
        <v>887</v>
      </c>
      <c r="F1" t="s">
        <v>796</v>
      </c>
      <c r="G1" t="s">
        <v>886</v>
      </c>
      <c r="H1" t="s">
        <v>891</v>
      </c>
      <c r="I1" t="s">
        <v>893</v>
      </c>
      <c r="J1" t="s">
        <v>796</v>
      </c>
      <c r="K1" t="s">
        <v>892</v>
      </c>
    </row>
    <row r="2" spans="1:11" x14ac:dyDescent="0.3">
      <c r="A2">
        <v>1</v>
      </c>
      <c r="B2">
        <f>VLOOKUP(county,ppt.county!$D$2:$T$101,A2+5)/100</f>
        <v>3.59</v>
      </c>
      <c r="C2">
        <f>INT(VLOOKUP(county,'ppt.events.5'!$D$2:$T$116,A2+5)/10)</f>
        <v>2</v>
      </c>
      <c r="D2">
        <f t="shared" ref="D2:D13" si="0">+P/Events</f>
        <v>1.7949999999999999</v>
      </c>
      <c r="E2" t="str">
        <f t="shared" ref="E2:E13" si="1">IF(simplemethod,"NA",(P-0.2*S)^2/(P+0.8*S))</f>
        <v>NA</v>
      </c>
      <c r="F2" t="str">
        <f t="shared" ref="F2:F13" si="2">IF(simplemethod,"NA",+E2/B2)</f>
        <v>NA</v>
      </c>
      <c r="G2" t="str">
        <f t="shared" ref="G2:G13" si="3">IF(simplemethod,"NA",(Pevent-0.2*S)^2/(Pevent+0.8*S)*Events)</f>
        <v>NA</v>
      </c>
      <c r="H2" t="str">
        <f t="shared" ref="H2:H13" si="4">IF(simplemethod,"NA",+G2/B2)</f>
        <v>NA</v>
      </c>
      <c r="I2" s="5">
        <f t="shared" ref="I2:I13" si="5">IF(simplemethod,(B2/B$15*I$15),"NA")</f>
        <v>0.64786826077148663</v>
      </c>
      <c r="J2" s="5">
        <f t="shared" ref="J2:J13" si="6">IF(simplemethod,+I2/B2,"NA")</f>
        <v>0.18046469659372888</v>
      </c>
      <c r="K2">
        <f>IF(simplemethod,+I2/12*wattotarea,G2/12*wattotarea)</f>
        <v>1.3497255432739304</v>
      </c>
    </row>
    <row r="3" spans="1:11" x14ac:dyDescent="0.3">
      <c r="A3">
        <v>2</v>
      </c>
      <c r="B3">
        <f>VLOOKUP(county,ppt.county!$D$2:$T$101,A3+5)/100</f>
        <v>3.71</v>
      </c>
      <c r="C3">
        <f>INT(VLOOKUP(county,'ppt.events.5'!$D$2:$T$116,A3+5)/10)</f>
        <v>2</v>
      </c>
      <c r="D3">
        <f t="shared" si="0"/>
        <v>1.855</v>
      </c>
      <c r="E3" t="str">
        <f t="shared" si="1"/>
        <v>NA</v>
      </c>
      <c r="F3" t="str">
        <f t="shared" si="2"/>
        <v>NA</v>
      </c>
      <c r="G3" t="str">
        <f t="shared" si="3"/>
        <v>NA</v>
      </c>
      <c r="H3" t="str">
        <f t="shared" si="4"/>
        <v>NA</v>
      </c>
      <c r="I3" s="5">
        <f t="shared" si="5"/>
        <v>0.66952402436273406</v>
      </c>
      <c r="J3" s="5">
        <f t="shared" si="6"/>
        <v>0.18046469659372885</v>
      </c>
      <c r="K3">
        <f t="shared" ref="K3:K13" si="7">IF(simplemethod,+I3/12*wattotarea,G3/12*wattotarea)</f>
        <v>1.3948417174223626</v>
      </c>
    </row>
    <row r="4" spans="1:11" x14ac:dyDescent="0.3">
      <c r="A4">
        <v>3</v>
      </c>
      <c r="B4">
        <f>VLOOKUP(county,ppt.county!$D$2:$T$101,A4+5)/100</f>
        <v>4.04</v>
      </c>
      <c r="C4">
        <f>INT(VLOOKUP(county,'ppt.events.5'!$D$2:$T$116,A4+5)/10)</f>
        <v>2</v>
      </c>
      <c r="D4">
        <f t="shared" si="0"/>
        <v>2.02</v>
      </c>
      <c r="E4" t="str">
        <f t="shared" si="1"/>
        <v>NA</v>
      </c>
      <c r="F4" t="str">
        <f t="shared" si="2"/>
        <v>NA</v>
      </c>
      <c r="G4" t="str">
        <f t="shared" si="3"/>
        <v>NA</v>
      </c>
      <c r="H4" t="str">
        <f t="shared" si="4"/>
        <v>NA</v>
      </c>
      <c r="I4" s="5">
        <f t="shared" si="5"/>
        <v>0.72907737423866459</v>
      </c>
      <c r="J4" s="5">
        <f t="shared" si="6"/>
        <v>0.18046469659372885</v>
      </c>
      <c r="K4">
        <f t="shared" si="7"/>
        <v>1.5189111963305513</v>
      </c>
    </row>
    <row r="5" spans="1:11" x14ac:dyDescent="0.3">
      <c r="A5">
        <v>4</v>
      </c>
      <c r="B5">
        <f>VLOOKUP(county,ppt.county!$D$2:$T$101,A5+5)/100</f>
        <v>3.72</v>
      </c>
      <c r="C5">
        <f>INT(VLOOKUP(county,'ppt.events.5'!$D$2:$T$116,A5+5)/10)</f>
        <v>2</v>
      </c>
      <c r="D5">
        <f t="shared" si="0"/>
        <v>1.86</v>
      </c>
      <c r="E5" t="str">
        <f t="shared" si="1"/>
        <v>NA</v>
      </c>
      <c r="F5" t="str">
        <f t="shared" si="2"/>
        <v>NA</v>
      </c>
      <c r="G5" t="str">
        <f t="shared" si="3"/>
        <v>NA</v>
      </c>
      <c r="H5" t="str">
        <f t="shared" si="4"/>
        <v>NA</v>
      </c>
      <c r="I5" s="5">
        <f t="shared" si="5"/>
        <v>0.67132867132867136</v>
      </c>
      <c r="J5" s="5">
        <f t="shared" si="6"/>
        <v>0.18046469659372885</v>
      </c>
      <c r="K5">
        <f t="shared" si="7"/>
        <v>1.3986013986013985</v>
      </c>
    </row>
    <row r="6" spans="1:11" x14ac:dyDescent="0.3">
      <c r="A6">
        <v>5</v>
      </c>
      <c r="B6">
        <f>VLOOKUP(county,ppt.county!$D$2:$T$101,A6+5)/100</f>
        <v>3.21</v>
      </c>
      <c r="C6">
        <f>INT(VLOOKUP(county,'ppt.events.5'!$D$2:$T$116,A6+5)/10)</f>
        <v>2</v>
      </c>
      <c r="D6">
        <f t="shared" si="0"/>
        <v>1.605</v>
      </c>
      <c r="E6" t="str">
        <f t="shared" si="1"/>
        <v>NA</v>
      </c>
      <c r="F6" t="str">
        <f t="shared" si="2"/>
        <v>NA</v>
      </c>
      <c r="G6" t="str">
        <f t="shared" si="3"/>
        <v>NA</v>
      </c>
      <c r="H6" t="str">
        <f t="shared" si="4"/>
        <v>NA</v>
      </c>
      <c r="I6" s="5">
        <f t="shared" si="5"/>
        <v>0.57929167606586962</v>
      </c>
      <c r="J6" s="5">
        <f t="shared" si="6"/>
        <v>0.18046469659372885</v>
      </c>
      <c r="K6">
        <f t="shared" si="7"/>
        <v>1.2068576584705617</v>
      </c>
    </row>
    <row r="7" spans="1:11" x14ac:dyDescent="0.3">
      <c r="A7">
        <v>6</v>
      </c>
      <c r="B7">
        <f>VLOOKUP(county,ppt.county!$D$2:$T$101,A7+5)/100</f>
        <v>4.1399999999999997</v>
      </c>
      <c r="C7">
        <f>INT(VLOOKUP(county,'ppt.events.5'!$D$2:$T$116,A7+5)/10)</f>
        <v>2</v>
      </c>
      <c r="D7">
        <f t="shared" si="0"/>
        <v>2.0699999999999998</v>
      </c>
      <c r="E7" t="str">
        <f t="shared" si="1"/>
        <v>NA</v>
      </c>
      <c r="F7" t="str">
        <f t="shared" si="2"/>
        <v>NA</v>
      </c>
      <c r="G7" t="str">
        <f t="shared" si="3"/>
        <v>NA</v>
      </c>
      <c r="H7" t="str">
        <f t="shared" si="4"/>
        <v>NA</v>
      </c>
      <c r="I7" s="5">
        <f t="shared" si="5"/>
        <v>0.74712384389803743</v>
      </c>
      <c r="J7" s="5">
        <f t="shared" si="6"/>
        <v>0.18046469659372885</v>
      </c>
      <c r="K7">
        <f t="shared" si="7"/>
        <v>1.5565080081209113</v>
      </c>
    </row>
    <row r="8" spans="1:11" x14ac:dyDescent="0.3">
      <c r="A8">
        <v>7</v>
      </c>
      <c r="B8">
        <f>VLOOKUP(county,ppt.county!$D$2:$T$101,A8+5)/100</f>
        <v>4.0599999999999996</v>
      </c>
      <c r="C8">
        <f>INT(VLOOKUP(county,'ppt.events.5'!$D$2:$T$116,A8+5)/10)</f>
        <v>2</v>
      </c>
      <c r="D8">
        <f t="shared" si="0"/>
        <v>2.0299999999999998</v>
      </c>
      <c r="E8" t="str">
        <f t="shared" si="1"/>
        <v>NA</v>
      </c>
      <c r="F8" t="str">
        <f t="shared" si="2"/>
        <v>NA</v>
      </c>
      <c r="G8" t="str">
        <f t="shared" si="3"/>
        <v>NA</v>
      </c>
      <c r="H8" t="str">
        <f t="shared" si="4"/>
        <v>NA</v>
      </c>
      <c r="I8" s="5">
        <f t="shared" si="5"/>
        <v>0.73268666817053907</v>
      </c>
      <c r="J8" s="5">
        <f t="shared" si="6"/>
        <v>0.18046469659372885</v>
      </c>
      <c r="K8">
        <f t="shared" si="7"/>
        <v>1.5264305586886231</v>
      </c>
    </row>
    <row r="9" spans="1:11" x14ac:dyDescent="0.3">
      <c r="A9">
        <v>8</v>
      </c>
      <c r="B9">
        <f>VLOOKUP(county,ppt.county!$D$2:$T$101,A9+5)/100</f>
        <v>4.12</v>
      </c>
      <c r="C9">
        <f>INT(VLOOKUP(county,'ppt.events.5'!$D$2:$T$116,A9+5)/10)</f>
        <v>2</v>
      </c>
      <c r="D9">
        <f t="shared" si="0"/>
        <v>2.06</v>
      </c>
      <c r="E9" t="str">
        <f t="shared" si="1"/>
        <v>NA</v>
      </c>
      <c r="F9" t="str">
        <f t="shared" si="2"/>
        <v>NA</v>
      </c>
      <c r="G9" t="str">
        <f t="shared" si="3"/>
        <v>NA</v>
      </c>
      <c r="H9" t="str">
        <f t="shared" si="4"/>
        <v>NA</v>
      </c>
      <c r="I9" s="5">
        <f t="shared" si="5"/>
        <v>0.74351454996616295</v>
      </c>
      <c r="J9" s="5">
        <f t="shared" si="6"/>
        <v>0.18046469659372888</v>
      </c>
      <c r="K9">
        <f t="shared" si="7"/>
        <v>1.5489886457628395</v>
      </c>
    </row>
    <row r="10" spans="1:11" x14ac:dyDescent="0.3">
      <c r="A10">
        <v>9</v>
      </c>
      <c r="B10">
        <f>VLOOKUP(county,ppt.county!$D$2:$T$101,A10+5)/100</f>
        <v>3.82</v>
      </c>
      <c r="C10">
        <f>INT(VLOOKUP(county,'ppt.events.5'!$D$2:$T$116,A10+5)/10)</f>
        <v>2</v>
      </c>
      <c r="D10">
        <f t="shared" si="0"/>
        <v>1.91</v>
      </c>
      <c r="E10" t="str">
        <f t="shared" si="1"/>
        <v>NA</v>
      </c>
      <c r="F10" t="str">
        <f t="shared" si="2"/>
        <v>NA</v>
      </c>
      <c r="G10" t="str">
        <f t="shared" si="3"/>
        <v>NA</v>
      </c>
      <c r="H10" t="str">
        <f t="shared" si="4"/>
        <v>NA</v>
      </c>
      <c r="I10" s="5">
        <f t="shared" si="5"/>
        <v>0.6893751409880442</v>
      </c>
      <c r="J10" s="5">
        <f t="shared" si="6"/>
        <v>0.18046469659372885</v>
      </c>
      <c r="K10">
        <f t="shared" si="7"/>
        <v>1.4361982103917588</v>
      </c>
    </row>
    <row r="11" spans="1:11" x14ac:dyDescent="0.3">
      <c r="A11">
        <v>10</v>
      </c>
      <c r="B11">
        <f>VLOOKUP(county,ppt.county!$D$2:$T$101,A11+5)/100</f>
        <v>3.23</v>
      </c>
      <c r="C11">
        <f>INT(VLOOKUP(county,'ppt.events.5'!$D$2:$T$116,A11+5)/10)</f>
        <v>2</v>
      </c>
      <c r="D11">
        <f t="shared" si="0"/>
        <v>1.615</v>
      </c>
      <c r="E11" t="str">
        <f t="shared" si="1"/>
        <v>NA</v>
      </c>
      <c r="F11" t="str">
        <f t="shared" si="2"/>
        <v>NA</v>
      </c>
      <c r="G11" t="str">
        <f t="shared" si="3"/>
        <v>NA</v>
      </c>
      <c r="H11" t="str">
        <f t="shared" si="4"/>
        <v>NA</v>
      </c>
      <c r="I11" s="5">
        <f t="shared" si="5"/>
        <v>0.58290096999774421</v>
      </c>
      <c r="J11" s="5">
        <f t="shared" si="6"/>
        <v>0.18046469659372885</v>
      </c>
      <c r="K11">
        <f t="shared" si="7"/>
        <v>1.2143770208286337</v>
      </c>
    </row>
    <row r="12" spans="1:11" x14ac:dyDescent="0.3">
      <c r="A12">
        <v>11</v>
      </c>
      <c r="B12">
        <f>VLOOKUP(county,ppt.county!$D$2:$T$101,A12+5)/100</f>
        <v>3.41</v>
      </c>
      <c r="C12">
        <f>INT(VLOOKUP(county,'ppt.events.5'!$D$2:$T$116,A12+5)/10)</f>
        <v>2</v>
      </c>
      <c r="D12">
        <f t="shared" si="0"/>
        <v>1.7050000000000001</v>
      </c>
      <c r="E12" t="str">
        <f t="shared" si="1"/>
        <v>NA</v>
      </c>
      <c r="F12" t="str">
        <f t="shared" si="2"/>
        <v>NA</v>
      </c>
      <c r="G12" t="str">
        <f t="shared" si="3"/>
        <v>NA</v>
      </c>
      <c r="H12" t="str">
        <f t="shared" si="4"/>
        <v>NA</v>
      </c>
      <c r="I12" s="5">
        <f t="shared" si="5"/>
        <v>0.61538461538461542</v>
      </c>
      <c r="J12" s="5">
        <f t="shared" si="6"/>
        <v>0.18046469659372885</v>
      </c>
      <c r="K12">
        <f t="shared" si="7"/>
        <v>1.2820512820512822</v>
      </c>
    </row>
    <row r="13" spans="1:11" x14ac:dyDescent="0.3">
      <c r="A13">
        <v>12</v>
      </c>
      <c r="B13">
        <f>VLOOKUP(county,ppt.county!$D$2:$T$101,A13+5)/100</f>
        <v>3.28</v>
      </c>
      <c r="C13">
        <f>INT(VLOOKUP(county,'ppt.events.5'!$D$2:$T$116,A13+5)/10)</f>
        <v>2</v>
      </c>
      <c r="D13">
        <f t="shared" si="0"/>
        <v>1.64</v>
      </c>
      <c r="E13" t="str">
        <f t="shared" si="1"/>
        <v>NA</v>
      </c>
      <c r="F13" t="str">
        <f t="shared" si="2"/>
        <v>NA</v>
      </c>
      <c r="G13" t="str">
        <f t="shared" si="3"/>
        <v>NA</v>
      </c>
      <c r="H13" t="str">
        <f t="shared" si="4"/>
        <v>NA</v>
      </c>
      <c r="I13" s="5">
        <f t="shared" si="5"/>
        <v>0.59192420482743058</v>
      </c>
      <c r="J13" s="5">
        <f t="shared" si="6"/>
        <v>0.18046469659372885</v>
      </c>
      <c r="K13">
        <f t="shared" si="7"/>
        <v>1.2331754267238138</v>
      </c>
    </row>
    <row r="15" spans="1:11" x14ac:dyDescent="0.3">
      <c r="B15">
        <f>SUM(B2:B13)</f>
        <v>44.33</v>
      </c>
      <c r="E15" t="str">
        <f>IF(simplemethod,"NA",SUM(E2:E13))</f>
        <v>NA</v>
      </c>
      <c r="F15" s="5" t="str">
        <f>IF(simplemethod,"NA",AVERAGE(F2:F13))</f>
        <v>NA</v>
      </c>
      <c r="G15" t="str">
        <f>IF(simplemethod,"NA",SUM(G2:G13))</f>
        <v>NA</v>
      </c>
      <c r="H15" s="5" t="str">
        <f>IF(simplemethod,"NA",AVERAGE(H2:H13))</f>
        <v>NA</v>
      </c>
      <c r="I15">
        <f>IF(simplemethod,1/VLOOKUP(county,ppt.county!$D$2:$AB$101,25)*12,"NA")</f>
        <v>8</v>
      </c>
      <c r="J15" s="5">
        <f>IF(simplemethod,AVERAGE(J2:J13),"NA")</f>
        <v>0.18046469659372888</v>
      </c>
      <c r="K15">
        <f>SUM(K2:K13)</f>
        <v>16.666666666666668</v>
      </c>
    </row>
    <row r="16" spans="1:11" x14ac:dyDescent="0.3">
      <c r="I16" t="s">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input1">
    <pageSetUpPr fitToPage="1"/>
  </sheetPr>
  <dimension ref="B12:E46"/>
  <sheetViews>
    <sheetView showGridLines="0" workbookViewId="0">
      <selection activeCell="K23" sqref="K23"/>
    </sheetView>
  </sheetViews>
  <sheetFormatPr defaultRowHeight="14.4" x14ac:dyDescent="0.3"/>
  <sheetData>
    <row r="12" spans="2:2" x14ac:dyDescent="0.3">
      <c r="B12" t="s">
        <v>64</v>
      </c>
    </row>
    <row r="13" spans="2:2" x14ac:dyDescent="0.3">
      <c r="B13" t="s">
        <v>64</v>
      </c>
    </row>
    <row r="46" spans="5:5" x14ac:dyDescent="0.3">
      <c r="E46" t="s">
        <v>64</v>
      </c>
    </row>
  </sheetData>
  <pageMargins left="0.7" right="0.7" top="0.75" bottom="0.75" header="0.3" footer="0.3"/>
  <pageSetup scale="54" orientation="portrait" r:id="rId1"/>
  <drawing r:id="rId2"/>
  <legacyDrawing r:id="rId3"/>
  <controls>
    <mc:AlternateContent xmlns:mc="http://schemas.openxmlformats.org/markup-compatibility/2006">
      <mc:Choice Requires="x14">
        <control shapeId="7233" r:id="rId4" name="CommandButton1">
          <controlPr defaultSize="0" autoLine="0" r:id="rId5">
            <anchor moveWithCells="1">
              <from>
                <xdr:col>15</xdr:col>
                <xdr:colOff>457200</xdr:colOff>
                <xdr:row>1</xdr:row>
                <xdr:rowOff>0</xdr:rowOff>
              </from>
              <to>
                <xdr:col>17</xdr:col>
                <xdr:colOff>182880</xdr:colOff>
                <xdr:row>3</xdr:row>
                <xdr:rowOff>68580</xdr:rowOff>
              </to>
            </anchor>
          </controlPr>
        </control>
      </mc:Choice>
      <mc:Fallback>
        <control shapeId="7233" r:id="rId4" name="CommandButton1"/>
      </mc:Fallback>
    </mc:AlternateContent>
    <mc:AlternateContent xmlns:mc="http://schemas.openxmlformats.org/markup-compatibility/2006">
      <mc:Choice Requires="x14">
        <control shapeId="7230" r:id="rId6" name="Label1">
          <controlPr defaultSize="0" autoLine="0" r:id="rId7">
            <anchor moveWithCells="1">
              <from>
                <xdr:col>3</xdr:col>
                <xdr:colOff>68580</xdr:colOff>
                <xdr:row>1</xdr:row>
                <xdr:rowOff>30480</xdr:rowOff>
              </from>
              <to>
                <xdr:col>15</xdr:col>
                <xdr:colOff>213360</xdr:colOff>
                <xdr:row>3</xdr:row>
                <xdr:rowOff>30480</xdr:rowOff>
              </to>
            </anchor>
          </controlPr>
        </control>
      </mc:Choice>
      <mc:Fallback>
        <control shapeId="7230" r:id="rId6" name="Label1"/>
      </mc:Fallback>
    </mc:AlternateContent>
    <mc:AlternateContent xmlns:mc="http://schemas.openxmlformats.org/markup-compatibility/2006">
      <mc:Choice Requires="x14">
        <control shapeId="7228" r:id="rId8" name="eff3text">
          <controlPr defaultSize="0" autoLine="0" linkedCell="eff.3" r:id="rId9">
            <anchor moveWithCells="1">
              <from>
                <xdr:col>13</xdr:col>
                <xdr:colOff>297180</xdr:colOff>
                <xdr:row>38</xdr:row>
                <xdr:rowOff>68580</xdr:rowOff>
              </from>
              <to>
                <xdr:col>14</xdr:col>
                <xdr:colOff>114300</xdr:colOff>
                <xdr:row>39</xdr:row>
                <xdr:rowOff>182880</xdr:rowOff>
              </to>
            </anchor>
          </controlPr>
        </control>
      </mc:Choice>
      <mc:Fallback>
        <control shapeId="7228" r:id="rId8" name="eff3text"/>
      </mc:Fallback>
    </mc:AlternateContent>
    <mc:AlternateContent xmlns:mc="http://schemas.openxmlformats.org/markup-compatibility/2006">
      <mc:Choice Requires="x14">
        <control shapeId="7227" r:id="rId10" name="eff2text">
          <controlPr defaultSize="0" autoLine="0" linkedCell="eff.2" r:id="rId11">
            <anchor moveWithCells="1">
              <from>
                <xdr:col>10</xdr:col>
                <xdr:colOff>190500</xdr:colOff>
                <xdr:row>38</xdr:row>
                <xdr:rowOff>68580</xdr:rowOff>
              </from>
              <to>
                <xdr:col>11</xdr:col>
                <xdr:colOff>7620</xdr:colOff>
                <xdr:row>39</xdr:row>
                <xdr:rowOff>182880</xdr:rowOff>
              </to>
            </anchor>
          </controlPr>
        </control>
      </mc:Choice>
      <mc:Fallback>
        <control shapeId="7227" r:id="rId10" name="eff2text"/>
      </mc:Fallback>
    </mc:AlternateContent>
    <mc:AlternateContent xmlns:mc="http://schemas.openxmlformats.org/markup-compatibility/2006">
      <mc:Choice Requires="x14">
        <control shapeId="7226" r:id="rId12" name="eff1text">
          <controlPr defaultSize="0" autoLine="0" linkedCell="eff.1" r:id="rId13">
            <anchor moveWithCells="1">
              <from>
                <xdr:col>7</xdr:col>
                <xdr:colOff>83820</xdr:colOff>
                <xdr:row>38</xdr:row>
                <xdr:rowOff>68580</xdr:rowOff>
              </from>
              <to>
                <xdr:col>7</xdr:col>
                <xdr:colOff>518160</xdr:colOff>
                <xdr:row>39</xdr:row>
                <xdr:rowOff>182880</xdr:rowOff>
              </to>
            </anchor>
          </controlPr>
        </control>
      </mc:Choice>
      <mc:Fallback>
        <control shapeId="7226" r:id="rId12" name="eff1text"/>
      </mc:Fallback>
    </mc:AlternateContent>
    <mc:AlternateContent xmlns:mc="http://schemas.openxmlformats.org/markup-compatibility/2006">
      <mc:Choice Requires="x14">
        <control shapeId="7225" r:id="rId14" name="custeff3label">
          <controlPr defaultSize="0" autoLine="0" r:id="rId15">
            <anchor moveWithCells="1">
              <from>
                <xdr:col>13</xdr:col>
                <xdr:colOff>198120</xdr:colOff>
                <xdr:row>36</xdr:row>
                <xdr:rowOff>0</xdr:rowOff>
              </from>
              <to>
                <xdr:col>14</xdr:col>
                <xdr:colOff>327660</xdr:colOff>
                <xdr:row>37</xdr:row>
                <xdr:rowOff>106680</xdr:rowOff>
              </to>
            </anchor>
          </controlPr>
        </control>
      </mc:Choice>
      <mc:Fallback>
        <control shapeId="7225" r:id="rId14" name="custeff3label"/>
      </mc:Fallback>
    </mc:AlternateContent>
    <mc:AlternateContent xmlns:mc="http://schemas.openxmlformats.org/markup-compatibility/2006">
      <mc:Choice Requires="x14">
        <control shapeId="7224" r:id="rId16" name="custeff2label">
          <controlPr defaultSize="0" autoLine="0" r:id="rId17">
            <anchor moveWithCells="1">
              <from>
                <xdr:col>10</xdr:col>
                <xdr:colOff>121920</xdr:colOff>
                <xdr:row>36</xdr:row>
                <xdr:rowOff>0</xdr:rowOff>
              </from>
              <to>
                <xdr:col>11</xdr:col>
                <xdr:colOff>251460</xdr:colOff>
                <xdr:row>37</xdr:row>
                <xdr:rowOff>106680</xdr:rowOff>
              </to>
            </anchor>
          </controlPr>
        </control>
      </mc:Choice>
      <mc:Fallback>
        <control shapeId="7224" r:id="rId16" name="custeff2label"/>
      </mc:Fallback>
    </mc:AlternateContent>
    <mc:AlternateContent xmlns:mc="http://schemas.openxmlformats.org/markup-compatibility/2006">
      <mc:Choice Requires="x14">
        <control shapeId="7223" r:id="rId18" name="custeff1label">
          <controlPr defaultSize="0" autoLine="0" r:id="rId19">
            <anchor moveWithCells="1">
              <from>
                <xdr:col>7</xdr:col>
                <xdr:colOff>45720</xdr:colOff>
                <xdr:row>36</xdr:row>
                <xdr:rowOff>0</xdr:rowOff>
              </from>
              <to>
                <xdr:col>8</xdr:col>
                <xdr:colOff>175260</xdr:colOff>
                <xdr:row>37</xdr:row>
                <xdr:rowOff>106680</xdr:rowOff>
              </to>
            </anchor>
          </controlPr>
        </control>
      </mc:Choice>
      <mc:Fallback>
        <control shapeId="7223" r:id="rId18" name="custeff1label"/>
      </mc:Fallback>
    </mc:AlternateContent>
    <mc:AlternateContent xmlns:mc="http://schemas.openxmlformats.org/markup-compatibility/2006">
      <mc:Choice Requires="x14">
        <control shapeId="7222" r:id="rId20" name="custeff3spin">
          <controlPr locked="0" defaultSize="0" disabled="1" autoLine="0" linkedCell="eff.3" r:id="rId21">
            <anchor moveWithCells="1">
              <from>
                <xdr:col>12</xdr:col>
                <xdr:colOff>45720</xdr:colOff>
                <xdr:row>37</xdr:row>
                <xdr:rowOff>121920</xdr:rowOff>
              </from>
              <to>
                <xdr:col>12</xdr:col>
                <xdr:colOff>457200</xdr:colOff>
                <xdr:row>40</xdr:row>
                <xdr:rowOff>144780</xdr:rowOff>
              </to>
            </anchor>
          </controlPr>
        </control>
      </mc:Choice>
      <mc:Fallback>
        <control shapeId="7222" r:id="rId20" name="custeff3spin"/>
      </mc:Fallback>
    </mc:AlternateContent>
    <mc:AlternateContent xmlns:mc="http://schemas.openxmlformats.org/markup-compatibility/2006">
      <mc:Choice Requires="x14">
        <control shapeId="7221" r:id="rId22" name="custeff2spin">
          <controlPr locked="0" defaultSize="0" disabled="1" autoLine="0" linkedCell="eff.2" r:id="rId21">
            <anchor moveWithCells="1">
              <from>
                <xdr:col>8</xdr:col>
                <xdr:colOff>579120</xdr:colOff>
                <xdr:row>37</xdr:row>
                <xdr:rowOff>121920</xdr:rowOff>
              </from>
              <to>
                <xdr:col>9</xdr:col>
                <xdr:colOff>381000</xdr:colOff>
                <xdr:row>40</xdr:row>
                <xdr:rowOff>144780</xdr:rowOff>
              </to>
            </anchor>
          </controlPr>
        </control>
      </mc:Choice>
      <mc:Fallback>
        <control shapeId="7221" r:id="rId22" name="custeff2spin"/>
      </mc:Fallback>
    </mc:AlternateContent>
    <mc:AlternateContent xmlns:mc="http://schemas.openxmlformats.org/markup-compatibility/2006">
      <mc:Choice Requires="x14">
        <control shapeId="7220" r:id="rId23" name="custeff1spin">
          <controlPr locked="0" defaultSize="0" disabled="1" autoLine="0" linkedCell="eff.1" r:id="rId21">
            <anchor moveWithCells="1">
              <from>
                <xdr:col>5</xdr:col>
                <xdr:colOff>502920</xdr:colOff>
                <xdr:row>37</xdr:row>
                <xdr:rowOff>121920</xdr:rowOff>
              </from>
              <to>
                <xdr:col>6</xdr:col>
                <xdr:colOff>304800</xdr:colOff>
                <xdr:row>40</xdr:row>
                <xdr:rowOff>144780</xdr:rowOff>
              </to>
            </anchor>
          </controlPr>
        </control>
      </mc:Choice>
      <mc:Fallback>
        <control shapeId="7220" r:id="rId23" name="custeff1spin"/>
      </mc:Fallback>
    </mc:AlternateContent>
    <mc:AlternateContent xmlns:mc="http://schemas.openxmlformats.org/markup-compatibility/2006">
      <mc:Choice Requires="x14">
        <control shapeId="7219" r:id="rId24" name="systype3">
          <controlPr defaultSize="0" disabled="1" autoLine="0" linkedCell="irr.sys.3" listFillRange="'input.form.data'!B22:B26" r:id="rId25">
            <anchor moveWithCells="1">
              <from>
                <xdr:col>12</xdr:col>
                <xdr:colOff>45720</xdr:colOff>
                <xdr:row>28</xdr:row>
                <xdr:rowOff>0</xdr:rowOff>
              </from>
              <to>
                <xdr:col>14</xdr:col>
                <xdr:colOff>350520</xdr:colOff>
                <xdr:row>34</xdr:row>
                <xdr:rowOff>121920</xdr:rowOff>
              </to>
            </anchor>
          </controlPr>
        </control>
      </mc:Choice>
      <mc:Fallback>
        <control shapeId="7219" r:id="rId24" name="systype3"/>
      </mc:Fallback>
    </mc:AlternateContent>
    <mc:AlternateContent xmlns:mc="http://schemas.openxmlformats.org/markup-compatibility/2006">
      <mc:Choice Requires="x14">
        <control shapeId="7218" r:id="rId26" name="systype2">
          <controlPr defaultSize="0" disabled="1" autoLine="0" linkedCell="irr.sys.2" listFillRange="'input.form.data'!B22:B26" r:id="rId27">
            <anchor moveWithCells="1">
              <from>
                <xdr:col>8</xdr:col>
                <xdr:colOff>579120</xdr:colOff>
                <xdr:row>28</xdr:row>
                <xdr:rowOff>0</xdr:rowOff>
              </from>
              <to>
                <xdr:col>11</xdr:col>
                <xdr:colOff>274320</xdr:colOff>
                <xdr:row>34</xdr:row>
                <xdr:rowOff>121920</xdr:rowOff>
              </to>
            </anchor>
          </controlPr>
        </control>
      </mc:Choice>
      <mc:Fallback>
        <control shapeId="7218" r:id="rId26" name="systype2"/>
      </mc:Fallback>
    </mc:AlternateContent>
    <mc:AlternateContent xmlns:mc="http://schemas.openxmlformats.org/markup-compatibility/2006">
      <mc:Choice Requires="x14">
        <control shapeId="7215" r:id="rId28" name="systype1">
          <controlPr locked="0" defaultSize="0" autoLine="0" linkedCell="irr.sys.1" listFillRange="'input.form.data'!B22:B26" r:id="rId29">
            <anchor moveWithCells="1">
              <from>
                <xdr:col>5</xdr:col>
                <xdr:colOff>502920</xdr:colOff>
                <xdr:row>28</xdr:row>
                <xdr:rowOff>0</xdr:rowOff>
              </from>
              <to>
                <xdr:col>8</xdr:col>
                <xdr:colOff>198120</xdr:colOff>
                <xdr:row>34</xdr:row>
                <xdr:rowOff>121920</xdr:rowOff>
              </to>
            </anchor>
          </controlPr>
        </control>
      </mc:Choice>
      <mc:Fallback>
        <control shapeId="7215" r:id="rId28" name="systype1"/>
      </mc:Fallback>
    </mc:AlternateContent>
    <mc:AlternateContent xmlns:mc="http://schemas.openxmlformats.org/markup-compatibility/2006">
      <mc:Choice Requires="x14">
        <control shapeId="7204" r:id="rId30" name="Acreage3label">
          <controlPr defaultSize="0" disabled="1" autoLine="0" r:id="rId31">
            <anchor moveWithCells="1">
              <from>
                <xdr:col>13</xdr:col>
                <xdr:colOff>76200</xdr:colOff>
                <xdr:row>16</xdr:row>
                <xdr:rowOff>0</xdr:rowOff>
              </from>
              <to>
                <xdr:col>14</xdr:col>
                <xdr:colOff>121920</xdr:colOff>
                <xdr:row>17</xdr:row>
                <xdr:rowOff>76200</xdr:rowOff>
              </to>
            </anchor>
          </controlPr>
        </control>
      </mc:Choice>
      <mc:Fallback>
        <control shapeId="7204" r:id="rId30" name="Acreage3label"/>
      </mc:Fallback>
    </mc:AlternateContent>
    <mc:AlternateContent xmlns:mc="http://schemas.openxmlformats.org/markup-compatibility/2006">
      <mc:Choice Requires="x14">
        <control shapeId="7203" r:id="rId32" name="Acreage2label">
          <controlPr defaultSize="0" disabled="1" autoLine="0" r:id="rId33">
            <anchor moveWithCells="1">
              <from>
                <xdr:col>10</xdr:col>
                <xdr:colOff>0</xdr:colOff>
                <xdr:row>16</xdr:row>
                <xdr:rowOff>0</xdr:rowOff>
              </from>
              <to>
                <xdr:col>11</xdr:col>
                <xdr:colOff>45720</xdr:colOff>
                <xdr:row>17</xdr:row>
                <xdr:rowOff>76200</xdr:rowOff>
              </to>
            </anchor>
          </controlPr>
        </control>
      </mc:Choice>
      <mc:Fallback>
        <control shapeId="7203" r:id="rId32" name="Acreage2label"/>
      </mc:Fallback>
    </mc:AlternateContent>
    <mc:AlternateContent xmlns:mc="http://schemas.openxmlformats.org/markup-compatibility/2006">
      <mc:Choice Requires="x14">
        <control shapeId="7202" r:id="rId34" name="acreage1label">
          <controlPr defaultSize="0" autoLine="0" r:id="rId35">
            <anchor moveWithCells="1">
              <from>
                <xdr:col>6</xdr:col>
                <xdr:colOff>533400</xdr:colOff>
                <xdr:row>16</xdr:row>
                <xdr:rowOff>0</xdr:rowOff>
              </from>
              <to>
                <xdr:col>7</xdr:col>
                <xdr:colOff>579120</xdr:colOff>
                <xdr:row>17</xdr:row>
                <xdr:rowOff>76200</xdr:rowOff>
              </to>
            </anchor>
          </controlPr>
        </control>
      </mc:Choice>
      <mc:Fallback>
        <control shapeId="7202" r:id="rId34" name="acreage1label"/>
      </mc:Fallback>
    </mc:AlternateContent>
    <mc:AlternateContent xmlns:mc="http://schemas.openxmlformats.org/markup-compatibility/2006">
      <mc:Choice Requires="x14">
        <control shapeId="7191" r:id="rId36" name="plantdate3">
          <controlPr locked="0" defaultSize="0" autoLine="0" linkedCell="Plant3" listFillRange="'input.form.data'!F2:F19" r:id="rId37">
            <anchor moveWithCells="1">
              <from>
                <xdr:col>12</xdr:col>
                <xdr:colOff>45720</xdr:colOff>
                <xdr:row>19</xdr:row>
                <xdr:rowOff>68580</xdr:rowOff>
              </from>
              <to>
                <xdr:col>14</xdr:col>
                <xdr:colOff>350520</xdr:colOff>
                <xdr:row>26</xdr:row>
                <xdr:rowOff>0</xdr:rowOff>
              </to>
            </anchor>
          </controlPr>
        </control>
      </mc:Choice>
      <mc:Fallback>
        <control shapeId="7191" r:id="rId36" name="plantdate3"/>
      </mc:Fallback>
    </mc:AlternateContent>
    <mc:AlternateContent xmlns:mc="http://schemas.openxmlformats.org/markup-compatibility/2006">
      <mc:Choice Requires="x14">
        <control shapeId="7190" r:id="rId38" name="plantdate2">
          <controlPr locked="0" defaultSize="0" autoLine="0" linkedCell="Plant2" listFillRange="'input.form.data'!F2:F19" r:id="rId39">
            <anchor moveWithCells="1">
              <from>
                <xdr:col>8</xdr:col>
                <xdr:colOff>579120</xdr:colOff>
                <xdr:row>19</xdr:row>
                <xdr:rowOff>68580</xdr:rowOff>
              </from>
              <to>
                <xdr:col>11</xdr:col>
                <xdr:colOff>274320</xdr:colOff>
                <xdr:row>26</xdr:row>
                <xdr:rowOff>0</xdr:rowOff>
              </to>
            </anchor>
          </controlPr>
        </control>
      </mc:Choice>
      <mc:Fallback>
        <control shapeId="7190" r:id="rId38" name="plantdate2"/>
      </mc:Fallback>
    </mc:AlternateContent>
    <mc:AlternateContent xmlns:mc="http://schemas.openxmlformats.org/markup-compatibility/2006">
      <mc:Choice Requires="x14">
        <control shapeId="7189" r:id="rId40" name="plantdate1">
          <controlPr locked="0" defaultSize="0" autoLine="0" linkedCell="Plant1" listFillRange="'input.form.data'!F2:F19" r:id="rId41">
            <anchor moveWithCells="1">
              <from>
                <xdr:col>5</xdr:col>
                <xdr:colOff>502920</xdr:colOff>
                <xdr:row>19</xdr:row>
                <xdr:rowOff>68580</xdr:rowOff>
              </from>
              <to>
                <xdr:col>8</xdr:col>
                <xdr:colOff>198120</xdr:colOff>
                <xdr:row>26</xdr:row>
                <xdr:rowOff>0</xdr:rowOff>
              </to>
            </anchor>
          </controlPr>
        </control>
      </mc:Choice>
      <mc:Fallback>
        <control shapeId="7189" r:id="rId40" name="plantdate1"/>
      </mc:Fallback>
    </mc:AlternateContent>
    <mc:AlternateContent xmlns:mc="http://schemas.openxmlformats.org/markup-compatibility/2006">
      <mc:Choice Requires="x14">
        <control shapeId="7177" r:id="rId42" name="crop3check">
          <controlPr defaultSize="0" autoLine="0" r:id="rId43">
            <anchor moveWithCells="1">
              <from>
                <xdr:col>12</xdr:col>
                <xdr:colOff>45720</xdr:colOff>
                <xdr:row>4</xdr:row>
                <xdr:rowOff>0</xdr:rowOff>
              </from>
              <to>
                <xdr:col>13</xdr:col>
                <xdr:colOff>556260</xdr:colOff>
                <xdr:row>6</xdr:row>
                <xdr:rowOff>83820</xdr:rowOff>
              </to>
            </anchor>
          </controlPr>
        </control>
      </mc:Choice>
      <mc:Fallback>
        <control shapeId="7177" r:id="rId42" name="crop3check"/>
      </mc:Fallback>
    </mc:AlternateContent>
    <mc:AlternateContent xmlns:mc="http://schemas.openxmlformats.org/markup-compatibility/2006">
      <mc:Choice Requires="x14">
        <control shapeId="7176" r:id="rId44" name="crop2check">
          <controlPr defaultSize="0" autoLine="0" r:id="rId45">
            <anchor moveWithCells="1">
              <from>
                <xdr:col>8</xdr:col>
                <xdr:colOff>579120</xdr:colOff>
                <xdr:row>4</xdr:row>
                <xdr:rowOff>0</xdr:rowOff>
              </from>
              <to>
                <xdr:col>10</xdr:col>
                <xdr:colOff>487680</xdr:colOff>
                <xdr:row>6</xdr:row>
                <xdr:rowOff>38100</xdr:rowOff>
              </to>
            </anchor>
          </controlPr>
        </control>
      </mc:Choice>
      <mc:Fallback>
        <control shapeId="7176" r:id="rId44" name="crop2check"/>
      </mc:Fallback>
    </mc:AlternateContent>
    <mc:AlternateContent xmlns:mc="http://schemas.openxmlformats.org/markup-compatibility/2006">
      <mc:Choice Requires="x14">
        <control shapeId="7175" r:id="rId46" name="crop1check">
          <controlPr defaultSize="0" autoLine="0" r:id="rId47">
            <anchor moveWithCells="1">
              <from>
                <xdr:col>5</xdr:col>
                <xdr:colOff>502920</xdr:colOff>
                <xdr:row>4</xdr:row>
                <xdr:rowOff>0</xdr:rowOff>
              </from>
              <to>
                <xdr:col>7</xdr:col>
                <xdr:colOff>312420</xdr:colOff>
                <xdr:row>6</xdr:row>
                <xdr:rowOff>68580</xdr:rowOff>
              </to>
            </anchor>
          </controlPr>
        </control>
      </mc:Choice>
      <mc:Fallback>
        <control shapeId="7175" r:id="rId46" name="crop1check"/>
      </mc:Fallback>
    </mc:AlternateContent>
    <mc:AlternateContent xmlns:mc="http://schemas.openxmlformats.org/markup-compatibility/2006">
      <mc:Choice Requires="x14">
        <control shapeId="7174" r:id="rId48" name="crop3list">
          <controlPr locked="0" defaultSize="0" autoLine="0" linkedCell="Crop3" listFillRange="'input.form.data'!D2:D19" r:id="rId49">
            <anchor moveWithCells="1">
              <from>
                <xdr:col>12</xdr:col>
                <xdr:colOff>45720</xdr:colOff>
                <xdr:row>6</xdr:row>
                <xdr:rowOff>121920</xdr:rowOff>
              </from>
              <to>
                <xdr:col>14</xdr:col>
                <xdr:colOff>350520</xdr:colOff>
                <xdr:row>13</xdr:row>
                <xdr:rowOff>68580</xdr:rowOff>
              </to>
            </anchor>
          </controlPr>
        </control>
      </mc:Choice>
      <mc:Fallback>
        <control shapeId="7174" r:id="rId48" name="crop3list"/>
      </mc:Fallback>
    </mc:AlternateContent>
    <mc:AlternateContent xmlns:mc="http://schemas.openxmlformats.org/markup-compatibility/2006">
      <mc:Choice Requires="x14">
        <control shapeId="7173" r:id="rId50" name="crop2list">
          <controlPr locked="0" defaultSize="0" autoLine="0" linkedCell="Crop2" listFillRange="'input.form.data'!D2:D19" r:id="rId51">
            <anchor moveWithCells="1">
              <from>
                <xdr:col>8</xdr:col>
                <xdr:colOff>579120</xdr:colOff>
                <xdr:row>6</xdr:row>
                <xdr:rowOff>121920</xdr:rowOff>
              </from>
              <to>
                <xdr:col>11</xdr:col>
                <xdr:colOff>274320</xdr:colOff>
                <xdr:row>13</xdr:row>
                <xdr:rowOff>68580</xdr:rowOff>
              </to>
            </anchor>
          </controlPr>
        </control>
      </mc:Choice>
      <mc:Fallback>
        <control shapeId="7173" r:id="rId50" name="crop2list"/>
      </mc:Fallback>
    </mc:AlternateContent>
    <mc:AlternateContent xmlns:mc="http://schemas.openxmlformats.org/markup-compatibility/2006">
      <mc:Choice Requires="x14">
        <control shapeId="7172" r:id="rId52" name="crop1list">
          <controlPr locked="0" defaultSize="0" autoLine="0" linkedCell="Crop1" listFillRange="'input.form.data'!D2:D19" r:id="rId53">
            <anchor moveWithCells="1">
              <from>
                <xdr:col>5</xdr:col>
                <xdr:colOff>502920</xdr:colOff>
                <xdr:row>6</xdr:row>
                <xdr:rowOff>121920</xdr:rowOff>
              </from>
              <to>
                <xdr:col>8</xdr:col>
                <xdr:colOff>198120</xdr:colOff>
                <xdr:row>13</xdr:row>
                <xdr:rowOff>60960</xdr:rowOff>
              </to>
            </anchor>
          </controlPr>
        </control>
      </mc:Choice>
      <mc:Fallback>
        <control shapeId="7172" r:id="rId52" name="crop1list"/>
      </mc:Fallback>
    </mc:AlternateContent>
    <mc:AlternateContent xmlns:mc="http://schemas.openxmlformats.org/markup-compatibility/2006">
      <mc:Choice Requires="x14">
        <control shapeId="7170" r:id="rId54" name="countyListBox">
          <controlPr defaultSize="0" autoLine="0" linkedCell="county" listFillRange="ppt.county!D2:D102" r:id="rId55">
            <anchor moveWithCells="1" sizeWithCells="1">
              <from>
                <xdr:col>1</xdr:col>
                <xdr:colOff>106680</xdr:colOff>
                <xdr:row>5</xdr:row>
                <xdr:rowOff>99060</xdr:rowOff>
              </from>
              <to>
                <xdr:col>3</xdr:col>
                <xdr:colOff>152400</xdr:colOff>
                <xdr:row>15</xdr:row>
                <xdr:rowOff>99060</xdr:rowOff>
              </to>
            </anchor>
          </controlPr>
        </control>
      </mc:Choice>
      <mc:Fallback>
        <control shapeId="7170" r:id="rId54" name="countyListBox"/>
      </mc:Fallback>
    </mc:AlternateContent>
    <mc:AlternateContent xmlns:mc="http://schemas.openxmlformats.org/markup-compatibility/2006">
      <mc:Choice Requires="x14">
        <control shapeId="7185" r:id="rId56" name="Acreage1">
          <controlPr defaultSize="0" autoLine="0" linkedCell="Acres1" r:id="rId57">
            <anchor moveWithCells="1">
              <from>
                <xdr:col>5</xdr:col>
                <xdr:colOff>502920</xdr:colOff>
                <xdr:row>16</xdr:row>
                <xdr:rowOff>0</xdr:rowOff>
              </from>
              <to>
                <xdr:col>6</xdr:col>
                <xdr:colOff>327660</xdr:colOff>
                <xdr:row>17</xdr:row>
                <xdr:rowOff>114300</xdr:rowOff>
              </to>
            </anchor>
          </controlPr>
        </control>
      </mc:Choice>
      <mc:Fallback>
        <control shapeId="7185" r:id="rId56" name="Acreage1"/>
      </mc:Fallback>
    </mc:AlternateContent>
    <mc:AlternateContent xmlns:mc="http://schemas.openxmlformats.org/markup-compatibility/2006">
      <mc:Choice Requires="x14">
        <control shapeId="7186" r:id="rId58" name="Acreage2">
          <controlPr defaultSize="0" disabled="1" autoLine="0" linkedCell="Acres2" r:id="rId59">
            <anchor moveWithCells="1">
              <from>
                <xdr:col>8</xdr:col>
                <xdr:colOff>579120</xdr:colOff>
                <xdr:row>16</xdr:row>
                <xdr:rowOff>0</xdr:rowOff>
              </from>
              <to>
                <xdr:col>9</xdr:col>
                <xdr:colOff>381000</xdr:colOff>
                <xdr:row>17</xdr:row>
                <xdr:rowOff>160020</xdr:rowOff>
              </to>
            </anchor>
          </controlPr>
        </control>
      </mc:Choice>
      <mc:Fallback>
        <control shapeId="7186" r:id="rId58" name="Acreage2"/>
      </mc:Fallback>
    </mc:AlternateContent>
    <mc:AlternateContent xmlns:mc="http://schemas.openxmlformats.org/markup-compatibility/2006">
      <mc:Choice Requires="x14">
        <control shapeId="7187" r:id="rId60" name="Acreage3">
          <controlPr defaultSize="0" disabled="1" autoLine="0" linkedCell="Acres3" r:id="rId61">
            <anchor moveWithCells="1">
              <from>
                <xdr:col>12</xdr:col>
                <xdr:colOff>45720</xdr:colOff>
                <xdr:row>16</xdr:row>
                <xdr:rowOff>0</xdr:rowOff>
              </from>
              <to>
                <xdr:col>12</xdr:col>
                <xdr:colOff>525780</xdr:colOff>
                <xdr:row>17</xdr:row>
                <xdr:rowOff>137160</xdr:rowOff>
              </to>
            </anchor>
          </controlPr>
        </control>
      </mc:Choice>
      <mc:Fallback>
        <control shapeId="7187" r:id="rId60" name="Acreage3"/>
      </mc:Fallback>
    </mc:AlternateContent>
    <mc:AlternateContent xmlns:mc="http://schemas.openxmlformats.org/markup-compatibility/2006">
      <mc:Choice Requires="x14">
        <control shapeId="7231" r:id="rId62" name="homecropinput">
          <controlPr defaultSize="0" autoLine="0" r:id="rId63">
            <anchor moveWithCells="1">
              <from>
                <xdr:col>0</xdr:col>
                <xdr:colOff>419100</xdr:colOff>
                <xdr:row>1</xdr:row>
                <xdr:rowOff>0</xdr:rowOff>
              </from>
              <to>
                <xdr:col>2</xdr:col>
                <xdr:colOff>30480</xdr:colOff>
                <xdr:row>3</xdr:row>
                <xdr:rowOff>30480</xdr:rowOff>
              </to>
            </anchor>
          </controlPr>
        </control>
      </mc:Choice>
      <mc:Fallback>
        <control shapeId="7231" r:id="rId62" name="homecropinput"/>
      </mc:Fallback>
    </mc:AlternateContent>
    <mc:AlternateContent xmlns:mc="http://schemas.openxmlformats.org/markup-compatibility/2006">
      <mc:Choice Requires="x14">
        <control shapeId="7234" r:id="rId64" name="DC1">
          <controlPr defaultSize="0" autoLine="0" linkedCell="DoubleCrop1" r:id="rId65">
            <anchor moveWithCells="1">
              <from>
                <xdr:col>5</xdr:col>
                <xdr:colOff>502920</xdr:colOff>
                <xdr:row>13</xdr:row>
                <xdr:rowOff>160020</xdr:rowOff>
              </from>
              <to>
                <xdr:col>8</xdr:col>
                <xdr:colOff>365760</xdr:colOff>
                <xdr:row>15</xdr:row>
                <xdr:rowOff>45720</xdr:rowOff>
              </to>
            </anchor>
          </controlPr>
        </control>
      </mc:Choice>
      <mc:Fallback>
        <control shapeId="7234" r:id="rId64" name="DC1"/>
      </mc:Fallback>
    </mc:AlternateContent>
    <mc:AlternateContent xmlns:mc="http://schemas.openxmlformats.org/markup-compatibility/2006">
      <mc:Choice Requires="x14">
        <control shapeId="7235" r:id="rId66" name="DC2">
          <controlPr defaultSize="0" autoLine="0" linkedCell="DoubleCrop2" r:id="rId67">
            <anchor moveWithCells="1">
              <from>
                <xdr:col>8</xdr:col>
                <xdr:colOff>579120</xdr:colOff>
                <xdr:row>13</xdr:row>
                <xdr:rowOff>160020</xdr:rowOff>
              </from>
              <to>
                <xdr:col>11</xdr:col>
                <xdr:colOff>419100</xdr:colOff>
                <xdr:row>15</xdr:row>
                <xdr:rowOff>45720</xdr:rowOff>
              </to>
            </anchor>
          </controlPr>
        </control>
      </mc:Choice>
      <mc:Fallback>
        <control shapeId="7235" r:id="rId66" name="DC2"/>
      </mc:Fallback>
    </mc:AlternateContent>
  </control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
  <sheetViews>
    <sheetView showGridLines="0" workbookViewId="0"/>
  </sheetViews>
  <sheetFormatPr defaultRowHeight="14.4" x14ac:dyDescent="0.3"/>
  <sheetData/>
  <pageMargins left="0.7" right="0.7" top="0.75" bottom="0.75" header="0.3" footer="0.3"/>
  <drawing r:id="rId1"/>
  <legacyDrawing r:id="rId2"/>
  <controls>
    <mc:AlternateContent xmlns:mc="http://schemas.openxmlformats.org/markup-compatibility/2006">
      <mc:Choice Requires="x14">
        <control shapeId="48129" r:id="rId3" name="CommandButton1">
          <controlPr defaultSize="0" autoLine="0" r:id="rId4">
            <anchor moveWithCells="1">
              <from>
                <xdr:col>0</xdr:col>
                <xdr:colOff>30480</xdr:colOff>
                <xdr:row>0</xdr:row>
                <xdr:rowOff>45720</xdr:rowOff>
              </from>
              <to>
                <xdr:col>1</xdr:col>
                <xdr:colOff>160020</xdr:colOff>
                <xdr:row>2</xdr:row>
                <xdr:rowOff>38100</xdr:rowOff>
              </to>
            </anchor>
          </controlPr>
        </control>
      </mc:Choice>
      <mc:Fallback>
        <control shapeId="48129" r:id="rId3" name="CommandButton1"/>
      </mc:Fallback>
    </mc:AlternateContent>
  </control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C1:Q29"/>
  <sheetViews>
    <sheetView showGridLines="0" workbookViewId="0"/>
  </sheetViews>
  <sheetFormatPr defaultRowHeight="14.4" x14ac:dyDescent="0.3"/>
  <cols>
    <col min="3" max="3" width="15.6640625" customWidth="1"/>
    <col min="4" max="4" width="10.44140625" customWidth="1"/>
    <col min="9" max="9" width="12.5546875" customWidth="1"/>
    <col min="12" max="12" width="11.33203125" customWidth="1"/>
    <col min="13" max="13" width="13" customWidth="1"/>
    <col min="14" max="14" width="13.33203125" customWidth="1"/>
    <col min="15" max="15" width="12" customWidth="1"/>
    <col min="16" max="16" width="12.33203125" customWidth="1"/>
  </cols>
  <sheetData>
    <row r="1" spans="3:17" ht="15.6" x14ac:dyDescent="0.3">
      <c r="C1" s="27" t="s">
        <v>9</v>
      </c>
      <c r="D1" s="33" t="str">
        <f>county</f>
        <v xml:space="preserve">Davidson </v>
      </c>
      <c r="E1" s="28"/>
      <c r="N1" s="2" t="s">
        <v>1020</v>
      </c>
    </row>
    <row r="2" spans="3:17" ht="15.6" x14ac:dyDescent="0.3">
      <c r="C2" s="29" t="s">
        <v>912</v>
      </c>
      <c r="D2" s="34" t="str">
        <f>wattotarea</f>
        <v>25</v>
      </c>
      <c r="E2" s="30" t="s">
        <v>914</v>
      </c>
      <c r="H2" s="2" t="s">
        <v>906</v>
      </c>
      <c r="K2" s="69">
        <v>22</v>
      </c>
      <c r="L2" t="s">
        <v>1006</v>
      </c>
      <c r="N2" s="90" t="s">
        <v>1019</v>
      </c>
    </row>
    <row r="3" spans="3:17" ht="16.2" thickBot="1" x14ac:dyDescent="0.35">
      <c r="C3" s="31" t="s">
        <v>913</v>
      </c>
      <c r="D3" s="35">
        <f>total.acres</f>
        <v>100</v>
      </c>
      <c r="E3" s="32" t="s">
        <v>914</v>
      </c>
      <c r="K3" s="69">
        <v>20</v>
      </c>
      <c r="L3" t="s">
        <v>1009</v>
      </c>
    </row>
    <row r="4" spans="3:17" x14ac:dyDescent="0.3">
      <c r="K4" t="str">
        <f>IF(K2&gt;F21,"Capacity &gt; Annual Runoff, reduce size","")</f>
        <v>Capacity &gt; Annual Runoff, reduce size</v>
      </c>
      <c r="L4" t="s">
        <v>1010</v>
      </c>
    </row>
    <row r="5" spans="3:17" ht="15" thickBot="1" x14ac:dyDescent="0.35">
      <c r="K5" t="str">
        <f>IF(K3&gt;K2,"Beginning Storage &gt; Capacity, reduce beginning storage", "")</f>
        <v/>
      </c>
      <c r="L5" t="s">
        <v>1011</v>
      </c>
    </row>
    <row r="6" spans="3:17" ht="15.6" x14ac:dyDescent="0.3">
      <c r="C6" s="12"/>
      <c r="D6" s="49" t="s">
        <v>902</v>
      </c>
      <c r="E6" s="49" t="s">
        <v>897</v>
      </c>
      <c r="F6" s="49" t="s">
        <v>897</v>
      </c>
      <c r="G6" s="152" t="s">
        <v>990</v>
      </c>
      <c r="H6" s="153"/>
      <c r="I6" s="153"/>
      <c r="J6" s="153"/>
      <c r="K6" s="49" t="s">
        <v>989</v>
      </c>
      <c r="L6" s="190" t="s">
        <v>905</v>
      </c>
      <c r="M6" s="191"/>
      <c r="N6" s="80" t="s">
        <v>1007</v>
      </c>
      <c r="O6" s="74" t="s">
        <v>1008</v>
      </c>
      <c r="P6" s="74" t="s">
        <v>1012</v>
      </c>
      <c r="Q6" s="75" t="s">
        <v>989</v>
      </c>
    </row>
    <row r="7" spans="3:17" ht="15.6" x14ac:dyDescent="0.3">
      <c r="C7" s="14" t="s">
        <v>396</v>
      </c>
      <c r="D7" s="15" t="s">
        <v>903</v>
      </c>
      <c r="E7" s="15" t="s">
        <v>909</v>
      </c>
      <c r="F7" s="15" t="s">
        <v>892</v>
      </c>
      <c r="G7" s="15" t="s">
        <v>898</v>
      </c>
      <c r="H7" s="15" t="s">
        <v>899</v>
      </c>
      <c r="I7" s="15" t="s">
        <v>900</v>
      </c>
      <c r="J7" s="15" t="s">
        <v>904</v>
      </c>
      <c r="K7" s="46" t="s">
        <v>988</v>
      </c>
      <c r="L7" s="15" t="s">
        <v>910</v>
      </c>
      <c r="M7" s="15" t="s">
        <v>911</v>
      </c>
      <c r="N7" s="81" t="s">
        <v>1015</v>
      </c>
      <c r="O7" s="84" t="s">
        <v>1015</v>
      </c>
      <c r="P7" s="85" t="s">
        <v>988</v>
      </c>
      <c r="Q7" s="86" t="s">
        <v>988</v>
      </c>
    </row>
    <row r="8" spans="3:17" ht="15.6" x14ac:dyDescent="0.3">
      <c r="C8" s="14">
        <v>1</v>
      </c>
      <c r="D8" s="15">
        <f>+'runoff.model'!B2</f>
        <v>3.59</v>
      </c>
      <c r="E8" s="17">
        <f>IF(wattotarea&lt;&gt;"",+'runoff.model'!K2*12/wattotarea,0)</f>
        <v>0.64786826077148663</v>
      </c>
      <c r="F8" s="17">
        <f>IF(wattotarea&lt;&gt;"",+'runoff.model'!K2,0)</f>
        <v>1.3497255432739304</v>
      </c>
      <c r="G8" s="17">
        <f>+'water.demand.model'!S2</f>
        <v>0</v>
      </c>
      <c r="H8" s="17">
        <f>+'water.demand.model'!T2</f>
        <v>0</v>
      </c>
      <c r="I8" s="17">
        <f>+'water.demand.model'!V2</f>
        <v>0</v>
      </c>
      <c r="J8" s="17">
        <f>SUM(H8,I8)</f>
        <v>0</v>
      </c>
      <c r="K8" s="47">
        <f>ABS(MIN(0,F8-J8))</f>
        <v>0</v>
      </c>
      <c r="L8" s="17">
        <f>+F8</f>
        <v>1.3497255432739304</v>
      </c>
      <c r="M8" s="17">
        <f>+J8</f>
        <v>0</v>
      </c>
      <c r="N8" s="82">
        <f>+K3</f>
        <v>20</v>
      </c>
      <c r="O8" s="76">
        <f t="shared" ref="O8:O19" si="0">IF(opmode="irrigation first",MAX(MIN(+N8+F8-J8,pondcapacity),0),MAX(MIN(N8+F8,pondcapacity)-J8,0))</f>
        <v>21.34972554327393</v>
      </c>
      <c r="P8" s="76">
        <f t="shared" ref="P8:P19" si="1">IF(opmode="irrigation first",IF(O8&gt;=pondcapacity,+N8+F8-J8-pondcapacity,0),MAX(+N8+F8-pondcapacity,0))</f>
        <v>0</v>
      </c>
      <c r="Q8" s="77">
        <f t="shared" ref="Q8:Q19" si="2">IF(opmode="irrigation first",MIN(N8+F8-J8,0),MIN(MIN(N8+F8,pondcapacity)-J8,0))</f>
        <v>0</v>
      </c>
    </row>
    <row r="9" spans="3:17" ht="15.6" x14ac:dyDescent="0.3">
      <c r="C9" s="14">
        <v>2</v>
      </c>
      <c r="D9" s="15">
        <f>+'runoff.model'!B3</f>
        <v>3.71</v>
      </c>
      <c r="E9" s="17">
        <f>IF(wattotarea&lt;&gt;"",+'runoff.model'!K3*12/wattotarea,0)</f>
        <v>0.66952402436273406</v>
      </c>
      <c r="F9" s="17">
        <f>IF(wattotarea&lt;&gt;"",+'runoff.model'!K3,0)</f>
        <v>1.3948417174223626</v>
      </c>
      <c r="G9" s="17">
        <f>+'water.demand.model'!S3</f>
        <v>0</v>
      </c>
      <c r="H9" s="17">
        <f>+'water.demand.model'!T3</f>
        <v>0</v>
      </c>
      <c r="I9" s="17">
        <f>+'water.demand.model'!V3</f>
        <v>0</v>
      </c>
      <c r="J9" s="17">
        <f t="shared" ref="J9:J19" si="3">SUM(H9,I9)</f>
        <v>0</v>
      </c>
      <c r="K9" s="47">
        <f t="shared" ref="K9:K19" si="4">ABS(MIN(0,F9-J9))</f>
        <v>0</v>
      </c>
      <c r="L9" s="17">
        <f>+L8+F9</f>
        <v>2.744567260696293</v>
      </c>
      <c r="M9" s="17">
        <f>+M8+J9</f>
        <v>0</v>
      </c>
      <c r="N9" s="82">
        <f>+O8</f>
        <v>21.34972554327393</v>
      </c>
      <c r="O9" s="76">
        <f t="shared" si="0"/>
        <v>22</v>
      </c>
      <c r="P9" s="76">
        <f t="shared" si="1"/>
        <v>0.74456726069629298</v>
      </c>
      <c r="Q9" s="77">
        <f t="shared" si="2"/>
        <v>0</v>
      </c>
    </row>
    <row r="10" spans="3:17" ht="15.6" x14ac:dyDescent="0.3">
      <c r="C10" s="14">
        <v>3</v>
      </c>
      <c r="D10" s="15">
        <f>+'runoff.model'!B4</f>
        <v>4.04</v>
      </c>
      <c r="E10" s="17">
        <f>IF(wattotarea&lt;&gt;"",+'runoff.model'!K4*12/wattotarea,0)</f>
        <v>0.7290773742386647</v>
      </c>
      <c r="F10" s="17">
        <f>IF(wattotarea&lt;&gt;"",+'runoff.model'!K4,0)</f>
        <v>1.5189111963305513</v>
      </c>
      <c r="G10" s="17">
        <f>+'water.demand.model'!S4</f>
        <v>0</v>
      </c>
      <c r="H10" s="17">
        <f>+'water.demand.model'!T4</f>
        <v>0</v>
      </c>
      <c r="I10" s="17">
        <f>+'water.demand.model'!V4</f>
        <v>0</v>
      </c>
      <c r="J10" s="17">
        <f t="shared" si="3"/>
        <v>0</v>
      </c>
      <c r="K10" s="47">
        <f t="shared" si="4"/>
        <v>0</v>
      </c>
      <c r="L10" s="17">
        <f t="shared" ref="L10:L19" si="5">+L9+F10</f>
        <v>4.263478457026844</v>
      </c>
      <c r="M10" s="17">
        <f t="shared" ref="M10:M19" si="6">+M9+J10</f>
        <v>0</v>
      </c>
      <c r="N10" s="82">
        <f t="shared" ref="N10:N19" si="7">+O9</f>
        <v>22</v>
      </c>
      <c r="O10" s="76">
        <f t="shared" si="0"/>
        <v>22</v>
      </c>
      <c r="P10" s="76">
        <f t="shared" si="1"/>
        <v>1.5189111963305528</v>
      </c>
      <c r="Q10" s="77">
        <f t="shared" si="2"/>
        <v>0</v>
      </c>
    </row>
    <row r="11" spans="3:17" ht="15.6" x14ac:dyDescent="0.3">
      <c r="C11" s="14">
        <v>4</v>
      </c>
      <c r="D11" s="15">
        <f>+'runoff.model'!B5</f>
        <v>3.72</v>
      </c>
      <c r="E11" s="17">
        <f>IF(wattotarea&lt;&gt;"",+'runoff.model'!K5*12/wattotarea,0)</f>
        <v>0.67132867132867136</v>
      </c>
      <c r="F11" s="17">
        <f>IF(wattotarea&lt;&gt;"",+'runoff.model'!K5,0)</f>
        <v>1.3986013986013985</v>
      </c>
      <c r="G11" s="17">
        <f>+'water.demand.model'!S5</f>
        <v>0</v>
      </c>
      <c r="H11" s="17">
        <f>+'water.demand.model'!T5</f>
        <v>0</v>
      </c>
      <c r="I11" s="17">
        <f>+'water.demand.model'!V5</f>
        <v>0</v>
      </c>
      <c r="J11" s="17">
        <f t="shared" si="3"/>
        <v>0</v>
      </c>
      <c r="K11" s="47">
        <f t="shared" si="4"/>
        <v>0</v>
      </c>
      <c r="L11" s="17">
        <f t="shared" si="5"/>
        <v>5.6620798556282423</v>
      </c>
      <c r="M11" s="17">
        <f t="shared" si="6"/>
        <v>0</v>
      </c>
      <c r="N11" s="82">
        <f t="shared" si="7"/>
        <v>22</v>
      </c>
      <c r="O11" s="76">
        <f t="shared" si="0"/>
        <v>22</v>
      </c>
      <c r="P11" s="76">
        <f t="shared" si="1"/>
        <v>1.3986013986014001</v>
      </c>
      <c r="Q11" s="77">
        <f t="shared" si="2"/>
        <v>0</v>
      </c>
    </row>
    <row r="12" spans="3:17" ht="15.6" x14ac:dyDescent="0.3">
      <c r="C12" s="14">
        <v>5</v>
      </c>
      <c r="D12" s="15">
        <f>+'runoff.model'!B6</f>
        <v>3.21</v>
      </c>
      <c r="E12" s="17">
        <f>IF(wattotarea&lt;&gt;"",+'runoff.model'!K6*12/wattotarea,0)</f>
        <v>0.57929167606586962</v>
      </c>
      <c r="F12" s="17">
        <f>IF(wattotarea&lt;&gt;"",+'runoff.model'!K6,0)</f>
        <v>1.2068576584705617</v>
      </c>
      <c r="G12" s="17">
        <f>+'water.demand.model'!S6</f>
        <v>4.763133908451211</v>
      </c>
      <c r="H12" s="17">
        <f>+'water.demand.model'!T6</f>
        <v>39.692782570426758</v>
      </c>
      <c r="I12" s="17">
        <f>+'water.demand.model'!V6</f>
        <v>0</v>
      </c>
      <c r="J12" s="17">
        <f t="shared" si="3"/>
        <v>39.692782570426758</v>
      </c>
      <c r="K12" s="89">
        <f t="shared" si="4"/>
        <v>38.485924911956197</v>
      </c>
      <c r="L12" s="17">
        <f t="shared" si="5"/>
        <v>6.8689375140988043</v>
      </c>
      <c r="M12" s="17">
        <f t="shared" si="6"/>
        <v>39.692782570426758</v>
      </c>
      <c r="N12" s="82">
        <f t="shared" si="7"/>
        <v>22</v>
      </c>
      <c r="O12" s="76">
        <f t="shared" si="0"/>
        <v>0</v>
      </c>
      <c r="P12" s="76">
        <f t="shared" si="1"/>
        <v>0</v>
      </c>
      <c r="Q12" s="77">
        <f t="shared" si="2"/>
        <v>-16.485924911956197</v>
      </c>
    </row>
    <row r="13" spans="3:17" ht="15.6" x14ac:dyDescent="0.3">
      <c r="C13" s="14">
        <v>6</v>
      </c>
      <c r="D13" s="15">
        <f>+'runoff.model'!B7</f>
        <v>4.1399999999999997</v>
      </c>
      <c r="E13" s="17">
        <f>IF(wattotarea&lt;&gt;"",+'runoff.model'!K7*12/wattotarea,0)</f>
        <v>0.74712384389803743</v>
      </c>
      <c r="F13" s="17">
        <f>IF(wattotarea&lt;&gt;"",+'runoff.model'!K7,0)</f>
        <v>1.5565080081209113</v>
      </c>
      <c r="G13" s="17">
        <f>+'water.demand.model'!S7</f>
        <v>6.9966095018758274</v>
      </c>
      <c r="H13" s="17">
        <f>+'water.demand.model'!T7</f>
        <v>58.305079182298556</v>
      </c>
      <c r="I13" s="17">
        <f>+'water.demand.model'!V7</f>
        <v>0</v>
      </c>
      <c r="J13" s="17">
        <f t="shared" si="3"/>
        <v>58.305079182298556</v>
      </c>
      <c r="K13" s="89">
        <f t="shared" si="4"/>
        <v>56.748571174177641</v>
      </c>
      <c r="L13" s="17">
        <f t="shared" si="5"/>
        <v>8.4254455222197162</v>
      </c>
      <c r="M13" s="17">
        <f t="shared" si="6"/>
        <v>97.997861752725314</v>
      </c>
      <c r="N13" s="82">
        <f t="shared" si="7"/>
        <v>0</v>
      </c>
      <c r="O13" s="76">
        <f t="shared" si="0"/>
        <v>0</v>
      </c>
      <c r="P13" s="76">
        <f t="shared" si="1"/>
        <v>0</v>
      </c>
      <c r="Q13" s="77">
        <f t="shared" si="2"/>
        <v>-56.748571174177641</v>
      </c>
    </row>
    <row r="14" spans="3:17" ht="15.6" x14ac:dyDescent="0.3">
      <c r="C14" s="14">
        <v>7</v>
      </c>
      <c r="D14" s="15">
        <f>+'runoff.model'!B8</f>
        <v>4.0599999999999996</v>
      </c>
      <c r="E14" s="17">
        <f>IF(wattotarea&lt;&gt;"",+'runoff.model'!K8*12/wattotarea,0)</f>
        <v>0.73268666817053907</v>
      </c>
      <c r="F14" s="17">
        <f>IF(wattotarea&lt;&gt;"",+'runoff.model'!K8,0)</f>
        <v>1.5264305586886231</v>
      </c>
      <c r="G14" s="17">
        <f>+'water.demand.model'!S8</f>
        <v>5.8304186597457708</v>
      </c>
      <c r="H14" s="17">
        <f>+'water.demand.model'!T8</f>
        <v>48.586822164548089</v>
      </c>
      <c r="I14" s="17">
        <f>+'water.demand.model'!V8</f>
        <v>0</v>
      </c>
      <c r="J14" s="17">
        <f t="shared" si="3"/>
        <v>48.586822164548089</v>
      </c>
      <c r="K14" s="89">
        <f t="shared" si="4"/>
        <v>47.060391605859465</v>
      </c>
      <c r="L14" s="17">
        <f t="shared" si="5"/>
        <v>9.95187608090834</v>
      </c>
      <c r="M14" s="17">
        <f t="shared" si="6"/>
        <v>146.5846839172734</v>
      </c>
      <c r="N14" s="82">
        <f t="shared" si="7"/>
        <v>0</v>
      </c>
      <c r="O14" s="76">
        <f t="shared" si="0"/>
        <v>0</v>
      </c>
      <c r="P14" s="76">
        <f t="shared" si="1"/>
        <v>0</v>
      </c>
      <c r="Q14" s="77">
        <f t="shared" si="2"/>
        <v>-47.060391605859465</v>
      </c>
    </row>
    <row r="15" spans="3:17" ht="15.6" x14ac:dyDescent="0.3">
      <c r="C15" s="14">
        <v>8</v>
      </c>
      <c r="D15" s="15">
        <f>+'runoff.model'!B9</f>
        <v>4.12</v>
      </c>
      <c r="E15" s="17">
        <f>IF(wattotarea&lt;&gt;"",+'runoff.model'!K9*12/wattotarea,0)</f>
        <v>0.74351454996616295</v>
      </c>
      <c r="F15" s="17">
        <f>IF(wattotarea&lt;&gt;"",+'runoff.model'!K9,0)</f>
        <v>1.5489886457628395</v>
      </c>
      <c r="G15" s="17">
        <f>+'water.demand.model'!S9</f>
        <v>0</v>
      </c>
      <c r="H15" s="17">
        <f>+'water.demand.model'!T9</f>
        <v>0</v>
      </c>
      <c r="I15" s="17">
        <f>+'water.demand.model'!V9</f>
        <v>0</v>
      </c>
      <c r="J15" s="17">
        <f t="shared" si="3"/>
        <v>0</v>
      </c>
      <c r="K15" s="89">
        <f t="shared" si="4"/>
        <v>0</v>
      </c>
      <c r="L15" s="17">
        <f t="shared" si="5"/>
        <v>11.50086472667118</v>
      </c>
      <c r="M15" s="17">
        <f t="shared" si="6"/>
        <v>146.5846839172734</v>
      </c>
      <c r="N15" s="82">
        <f t="shared" si="7"/>
        <v>0</v>
      </c>
      <c r="O15" s="76">
        <f t="shared" si="0"/>
        <v>1.5489886457628395</v>
      </c>
      <c r="P15" s="76">
        <f t="shared" si="1"/>
        <v>0</v>
      </c>
      <c r="Q15" s="77">
        <f t="shared" si="2"/>
        <v>0</v>
      </c>
    </row>
    <row r="16" spans="3:17" ht="15.6" x14ac:dyDescent="0.3">
      <c r="C16" s="14">
        <v>9</v>
      </c>
      <c r="D16" s="15">
        <f>+'runoff.model'!B10</f>
        <v>3.82</v>
      </c>
      <c r="E16" s="17">
        <f>IF(wattotarea&lt;&gt;"",+'runoff.model'!K10*12/wattotarea,0)</f>
        <v>0.68937514098804431</v>
      </c>
      <c r="F16" s="17">
        <f>IF(wattotarea&lt;&gt;"",+'runoff.model'!K10,0)</f>
        <v>1.4361982103917588</v>
      </c>
      <c r="G16" s="17">
        <f>+'water.demand.model'!S10</f>
        <v>0</v>
      </c>
      <c r="H16" s="17">
        <f>+'water.demand.model'!T10</f>
        <v>0</v>
      </c>
      <c r="I16" s="17">
        <f>+'water.demand.model'!V10</f>
        <v>0</v>
      </c>
      <c r="J16" s="17">
        <f t="shared" si="3"/>
        <v>0</v>
      </c>
      <c r="K16" s="47">
        <f t="shared" si="4"/>
        <v>0</v>
      </c>
      <c r="L16" s="17">
        <f t="shared" si="5"/>
        <v>12.937062937062938</v>
      </c>
      <c r="M16" s="17">
        <f t="shared" si="6"/>
        <v>146.5846839172734</v>
      </c>
      <c r="N16" s="82">
        <f t="shared" si="7"/>
        <v>1.5489886457628395</v>
      </c>
      <c r="O16" s="76">
        <f t="shared" si="0"/>
        <v>2.9851868561545984</v>
      </c>
      <c r="P16" s="76">
        <f t="shared" si="1"/>
        <v>0</v>
      </c>
      <c r="Q16" s="77">
        <f t="shared" si="2"/>
        <v>0</v>
      </c>
    </row>
    <row r="17" spans="3:17" ht="15.6" x14ac:dyDescent="0.3">
      <c r="C17" s="14">
        <v>10</v>
      </c>
      <c r="D17" s="15">
        <f>+'runoff.model'!B11</f>
        <v>3.23</v>
      </c>
      <c r="E17" s="17">
        <f>IF(wattotarea&lt;&gt;"",+'runoff.model'!K11*12/wattotarea,0)</f>
        <v>0.58290096999774421</v>
      </c>
      <c r="F17" s="17">
        <f>IF(wattotarea&lt;&gt;"",+'runoff.model'!K11,0)</f>
        <v>1.2143770208286337</v>
      </c>
      <c r="G17" s="17">
        <f>+'water.demand.model'!S11</f>
        <v>0</v>
      </c>
      <c r="H17" s="17">
        <f>+'water.demand.model'!T11</f>
        <v>0</v>
      </c>
      <c r="I17" s="17">
        <f>+'water.demand.model'!V11</f>
        <v>0</v>
      </c>
      <c r="J17" s="17">
        <f t="shared" si="3"/>
        <v>0</v>
      </c>
      <c r="K17" s="47">
        <f t="shared" si="4"/>
        <v>0</v>
      </c>
      <c r="L17" s="17">
        <f t="shared" si="5"/>
        <v>14.151439957891572</v>
      </c>
      <c r="M17" s="17">
        <f t="shared" si="6"/>
        <v>146.5846839172734</v>
      </c>
      <c r="N17" s="82">
        <f t="shared" si="7"/>
        <v>2.9851868561545984</v>
      </c>
      <c r="O17" s="76">
        <f t="shared" si="0"/>
        <v>4.1995638769832322</v>
      </c>
      <c r="P17" s="76">
        <f t="shared" si="1"/>
        <v>0</v>
      </c>
      <c r="Q17" s="77">
        <f t="shared" si="2"/>
        <v>0</v>
      </c>
    </row>
    <row r="18" spans="3:17" ht="15.6" x14ac:dyDescent="0.3">
      <c r="C18" s="14">
        <v>11</v>
      </c>
      <c r="D18" s="15">
        <f>+'runoff.model'!B12</f>
        <v>3.41</v>
      </c>
      <c r="E18" s="17">
        <f>IF(wattotarea&lt;&gt;"",+'runoff.model'!K12*12/wattotarea,0)</f>
        <v>0.61538461538461542</v>
      </c>
      <c r="F18" s="17">
        <f>IF(wattotarea&lt;&gt;"",+'runoff.model'!K12,0)</f>
        <v>1.2820512820512822</v>
      </c>
      <c r="G18" s="17">
        <f>+'water.demand.model'!S12</f>
        <v>0</v>
      </c>
      <c r="H18" s="17">
        <f>+'water.demand.model'!T12</f>
        <v>0</v>
      </c>
      <c r="I18" s="17">
        <f>+'water.demand.model'!V12</f>
        <v>0</v>
      </c>
      <c r="J18" s="17">
        <f t="shared" si="3"/>
        <v>0</v>
      </c>
      <c r="K18" s="47">
        <f t="shared" si="4"/>
        <v>0</v>
      </c>
      <c r="L18" s="17">
        <f t="shared" si="5"/>
        <v>15.433491239942855</v>
      </c>
      <c r="M18" s="17">
        <f t="shared" si="6"/>
        <v>146.5846839172734</v>
      </c>
      <c r="N18" s="82">
        <f t="shared" si="7"/>
        <v>4.1995638769832322</v>
      </c>
      <c r="O18" s="76">
        <f t="shared" si="0"/>
        <v>5.4816151590345141</v>
      </c>
      <c r="P18" s="76">
        <f t="shared" si="1"/>
        <v>0</v>
      </c>
      <c r="Q18" s="77">
        <f t="shared" si="2"/>
        <v>0</v>
      </c>
    </row>
    <row r="19" spans="3:17" ht="16.2" thickBot="1" x14ac:dyDescent="0.35">
      <c r="C19" s="23">
        <v>12</v>
      </c>
      <c r="D19" s="24">
        <f>+'runoff.model'!B13</f>
        <v>3.28</v>
      </c>
      <c r="E19" s="25">
        <f>IF(wattotarea&lt;&gt;"",+'runoff.model'!K13*12/wattotarea,0)</f>
        <v>0.59192420482743058</v>
      </c>
      <c r="F19" s="25">
        <f>IF(wattotarea&lt;&gt;"",+'runoff.model'!K13,0)</f>
        <v>1.2331754267238138</v>
      </c>
      <c r="G19" s="25">
        <f>+'water.demand.model'!S13</f>
        <v>0</v>
      </c>
      <c r="H19" s="25">
        <f>+'water.demand.model'!T13</f>
        <v>0</v>
      </c>
      <c r="I19" s="25">
        <f>+'water.demand.model'!V13</f>
        <v>0</v>
      </c>
      <c r="J19" s="25">
        <f t="shared" si="3"/>
        <v>0</v>
      </c>
      <c r="K19" s="48">
        <f t="shared" si="4"/>
        <v>0</v>
      </c>
      <c r="L19" s="25">
        <f t="shared" si="5"/>
        <v>16.666666666666668</v>
      </c>
      <c r="M19" s="25">
        <f t="shared" si="6"/>
        <v>146.5846839172734</v>
      </c>
      <c r="N19" s="83">
        <f t="shared" si="7"/>
        <v>5.4816151590345141</v>
      </c>
      <c r="O19" s="78">
        <f t="shared" si="0"/>
        <v>6.7147905857583279</v>
      </c>
      <c r="P19" s="78">
        <f t="shared" si="1"/>
        <v>0</v>
      </c>
      <c r="Q19" s="79">
        <f t="shared" si="2"/>
        <v>0</v>
      </c>
    </row>
    <row r="20" spans="3:17" ht="15.6" x14ac:dyDescent="0.3">
      <c r="C20" s="14"/>
      <c r="D20" s="15"/>
      <c r="E20" s="15"/>
      <c r="F20" s="15"/>
      <c r="G20" s="15"/>
      <c r="H20" s="15"/>
      <c r="I20" s="15"/>
      <c r="J20" s="15"/>
      <c r="K20" s="15"/>
      <c r="L20" s="15"/>
      <c r="M20" s="15"/>
      <c r="N20" s="82"/>
      <c r="O20" s="72"/>
      <c r="P20" s="71"/>
      <c r="Q20" s="73"/>
    </row>
    <row r="21" spans="3:17" ht="15.6" x14ac:dyDescent="0.3">
      <c r="C21" s="19" t="s">
        <v>901</v>
      </c>
      <c r="D21" s="20">
        <f t="shared" ref="D21:K21" si="8">SUM(D8:D19)</f>
        <v>44.33</v>
      </c>
      <c r="E21" s="20">
        <f t="shared" si="8"/>
        <v>8</v>
      </c>
      <c r="F21" s="20">
        <f t="shared" si="8"/>
        <v>16.666666666666668</v>
      </c>
      <c r="G21" s="20">
        <f t="shared" si="8"/>
        <v>17.590162070072807</v>
      </c>
      <c r="H21" s="20">
        <f t="shared" si="8"/>
        <v>146.5846839172734</v>
      </c>
      <c r="I21" s="20">
        <f t="shared" si="8"/>
        <v>0</v>
      </c>
      <c r="J21" s="20">
        <f t="shared" si="8"/>
        <v>146.5846839172734</v>
      </c>
      <c r="K21" s="20">
        <f t="shared" si="8"/>
        <v>142.29488769199332</v>
      </c>
      <c r="L21" s="21"/>
      <c r="M21" s="21"/>
      <c r="N21" s="82"/>
      <c r="O21" s="72"/>
      <c r="P21" s="73">
        <f>SUM(P8:P19)</f>
        <v>3.6620798556282459</v>
      </c>
      <c r="Q21" s="73">
        <f>SUM(Q8:Q19)</f>
        <v>-120.29488769199331</v>
      </c>
    </row>
    <row r="25" spans="3:17" ht="18" x14ac:dyDescent="0.35">
      <c r="C25" s="70" t="s">
        <v>908</v>
      </c>
      <c r="D25" s="70" t="str">
        <f>IF(AND(Q21&lt;0,P21&lt;pondcapacity,tot.runoff&lt;J21),"try reducing irrigated acreage","")</f>
        <v>try reducing irrigated acreage</v>
      </c>
    </row>
    <row r="26" spans="3:17" ht="18" x14ac:dyDescent="0.35">
      <c r="D26" s="70" t="str">
        <f>IF(AND(Q21&lt;0,tot.op.spill&gt;tot.op.deficit,tot.runoff&gt;J21),"try increasing pond capacity","")</f>
        <v/>
      </c>
    </row>
    <row r="27" spans="3:17" x14ac:dyDescent="0.3">
      <c r="C27" s="11" t="str">
        <f>IF(AND(wattotarea="",WatSize&lt;=""),"no watershed area data entered!","")</f>
        <v/>
      </c>
    </row>
    <row r="28" spans="3:17" x14ac:dyDescent="0.3">
      <c r="C28" s="11" t="str">
        <f>IF(total.acres=0,"no irrigated acres entered!","")</f>
        <v/>
      </c>
    </row>
    <row r="29" spans="3:17" x14ac:dyDescent="0.3">
      <c r="C29" t="s">
        <v>64</v>
      </c>
    </row>
  </sheetData>
  <mergeCells count="2">
    <mergeCell ref="G6:J6"/>
    <mergeCell ref="L6:M6"/>
  </mergeCells>
  <pageMargins left="0.7" right="0.7" top="0.75" bottom="0.75" header="0.3" footer="0.3"/>
  <pageSetup scale="66" orientation="landscape" r:id="rId1"/>
  <drawing r:id="rId2"/>
  <legacyDrawing r:id="rId3"/>
  <controls>
    <mc:AlternateContent xmlns:mc="http://schemas.openxmlformats.org/markup-compatibility/2006">
      <mc:Choice Requires="x14">
        <control shapeId="84993" r:id="rId4" name="CommandButton1">
          <controlPr defaultSize="0" autoLine="0" r:id="rId5">
            <anchor moveWithCells="1">
              <from>
                <xdr:col>0</xdr:col>
                <xdr:colOff>30480</xdr:colOff>
                <xdr:row>0</xdr:row>
                <xdr:rowOff>45720</xdr:rowOff>
              </from>
              <to>
                <xdr:col>1</xdr:col>
                <xdr:colOff>160020</xdr:colOff>
                <xdr:row>2</xdr:row>
                <xdr:rowOff>22860</xdr:rowOff>
              </to>
            </anchor>
          </controlPr>
        </control>
      </mc:Choice>
      <mc:Fallback>
        <control shapeId="84993" r:id="rId4" name="CommandButton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'input.form.data'!$B$30:$B$31</xm:f>
          </x14:formula1>
          <xm:sqref>N2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M9"/>
  <sheetViews>
    <sheetView workbookViewId="0">
      <selection activeCell="B7" sqref="B7"/>
    </sheetView>
  </sheetViews>
  <sheetFormatPr defaultRowHeight="14.4" x14ac:dyDescent="0.3"/>
  <cols>
    <col min="1" max="1" width="11.33203125" customWidth="1"/>
    <col min="2" max="2" width="63.5546875" customWidth="1"/>
  </cols>
  <sheetData>
    <row r="1" spans="1:13" x14ac:dyDescent="0.3">
      <c r="A1" t="s">
        <v>1001</v>
      </c>
    </row>
    <row r="3" spans="1:13" ht="43.2" x14ac:dyDescent="0.3">
      <c r="A3" s="2" t="s">
        <v>1002</v>
      </c>
      <c r="B3" s="68" t="s">
        <v>1003</v>
      </c>
      <c r="C3" s="88"/>
      <c r="D3" s="88"/>
      <c r="E3" s="88"/>
      <c r="F3" s="88"/>
      <c r="G3" s="88"/>
      <c r="H3" s="88"/>
      <c r="I3" s="88"/>
      <c r="J3" s="88"/>
      <c r="K3" s="88"/>
      <c r="L3" s="88"/>
      <c r="M3" s="88"/>
    </row>
    <row r="4" spans="1:13" x14ac:dyDescent="0.3">
      <c r="B4" s="88"/>
      <c r="C4" s="88"/>
      <c r="D4" s="88"/>
      <c r="E4" s="88"/>
      <c r="F4" s="88"/>
      <c r="G4" s="88"/>
      <c r="H4" s="88"/>
      <c r="I4" s="88"/>
      <c r="J4" s="88"/>
      <c r="K4" s="88"/>
      <c r="L4" s="88"/>
      <c r="M4" s="88"/>
    </row>
    <row r="5" spans="1:13" x14ac:dyDescent="0.3">
      <c r="B5" s="88"/>
      <c r="C5" s="88"/>
      <c r="D5" s="88"/>
      <c r="E5" s="88"/>
      <c r="F5" s="88"/>
      <c r="G5" s="88"/>
      <c r="H5" s="88"/>
      <c r="I5" s="88"/>
      <c r="J5" s="88"/>
      <c r="K5" s="88"/>
      <c r="L5" s="88"/>
      <c r="M5" s="88"/>
    </row>
    <row r="6" spans="1:13" ht="100.8" x14ac:dyDescent="0.3">
      <c r="A6" s="2" t="s">
        <v>1016</v>
      </c>
      <c r="B6" s="87" t="s">
        <v>1017</v>
      </c>
    </row>
    <row r="7" spans="1:13" ht="86.4" x14ac:dyDescent="0.3">
      <c r="A7" s="2" t="s">
        <v>1021</v>
      </c>
      <c r="B7" s="87" t="s">
        <v>1023</v>
      </c>
    </row>
    <row r="8" spans="1:13" x14ac:dyDescent="0.3">
      <c r="A8" s="2" t="s">
        <v>1154</v>
      </c>
      <c r="B8" s="87" t="s">
        <v>1022</v>
      </c>
    </row>
    <row r="9" spans="1:13" x14ac:dyDescent="0.3">
      <c r="A9" s="2" t="s">
        <v>1155</v>
      </c>
      <c r="B9" s="87" t="s">
        <v>1156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
  <sheetViews>
    <sheetView showGridLines="0" workbookViewId="0">
      <selection activeCell="K29" sqref="K29"/>
    </sheetView>
  </sheetViews>
  <sheetFormatPr defaultRowHeight="14.4" x14ac:dyDescent="0.3"/>
  <sheetData/>
  <pageMargins left="0.7" right="0.7" top="0.75" bottom="0.75" header="0.3" footer="0.3"/>
  <drawing r:id="rId1"/>
  <legacyDrawing r:id="rId2"/>
  <controls>
    <mc:AlternateContent xmlns:mc="http://schemas.openxmlformats.org/markup-compatibility/2006">
      <mc:Choice Requires="x14">
        <control shapeId="58392" r:id="rId3" name="CommandButton1">
          <controlPr defaultSize="0" autoLine="0" r:id="rId4">
            <anchor moveWithCells="1">
              <from>
                <xdr:col>15</xdr:col>
                <xdr:colOff>0</xdr:colOff>
                <xdr:row>0</xdr:row>
                <xdr:rowOff>114300</xdr:rowOff>
              </from>
              <to>
                <xdr:col>16</xdr:col>
                <xdr:colOff>335280</xdr:colOff>
                <xdr:row>2</xdr:row>
                <xdr:rowOff>182880</xdr:rowOff>
              </to>
            </anchor>
          </controlPr>
        </control>
      </mc:Choice>
      <mc:Fallback>
        <control shapeId="58392" r:id="rId3" name="CommandButton1"/>
      </mc:Fallback>
    </mc:AlternateContent>
    <mc:AlternateContent xmlns:mc="http://schemas.openxmlformats.org/markup-compatibility/2006">
      <mc:Choice Requires="x14">
        <control shapeId="58389" r:id="rId5" name="live4textlabel">
          <controlPr defaultSize="0" disabled="1" autoLine="0" r:id="rId6">
            <anchor moveWithCells="1">
              <from>
                <xdr:col>13</xdr:col>
                <xdr:colOff>144780</xdr:colOff>
                <xdr:row>14</xdr:row>
                <xdr:rowOff>121920</xdr:rowOff>
              </from>
              <to>
                <xdr:col>14</xdr:col>
                <xdr:colOff>266700</xdr:colOff>
                <xdr:row>16</xdr:row>
                <xdr:rowOff>38100</xdr:rowOff>
              </to>
            </anchor>
          </controlPr>
        </control>
      </mc:Choice>
      <mc:Fallback>
        <control shapeId="58389" r:id="rId5" name="live4textlabel"/>
      </mc:Fallback>
    </mc:AlternateContent>
    <mc:AlternateContent xmlns:mc="http://schemas.openxmlformats.org/markup-compatibility/2006">
      <mc:Choice Requires="x14">
        <control shapeId="58388" r:id="rId7" name="live3textlabel">
          <controlPr defaultSize="0" disabled="1" autoLine="0" r:id="rId8">
            <anchor moveWithCells="1">
              <from>
                <xdr:col>9</xdr:col>
                <xdr:colOff>419100</xdr:colOff>
                <xdr:row>14</xdr:row>
                <xdr:rowOff>121920</xdr:rowOff>
              </from>
              <to>
                <xdr:col>10</xdr:col>
                <xdr:colOff>541020</xdr:colOff>
                <xdr:row>16</xdr:row>
                <xdr:rowOff>38100</xdr:rowOff>
              </to>
            </anchor>
          </controlPr>
        </control>
      </mc:Choice>
      <mc:Fallback>
        <control shapeId="58388" r:id="rId7" name="live3textlabel"/>
      </mc:Fallback>
    </mc:AlternateContent>
    <mc:AlternateContent xmlns:mc="http://schemas.openxmlformats.org/markup-compatibility/2006">
      <mc:Choice Requires="x14">
        <control shapeId="58387" r:id="rId9" name="live2textlabel">
          <controlPr defaultSize="0" disabled="1" autoLine="0" r:id="rId10">
            <anchor moveWithCells="1">
              <from>
                <xdr:col>6</xdr:col>
                <xdr:colOff>83820</xdr:colOff>
                <xdr:row>14</xdr:row>
                <xdr:rowOff>121920</xdr:rowOff>
              </from>
              <to>
                <xdr:col>7</xdr:col>
                <xdr:colOff>213360</xdr:colOff>
                <xdr:row>16</xdr:row>
                <xdr:rowOff>38100</xdr:rowOff>
              </to>
            </anchor>
          </controlPr>
        </control>
      </mc:Choice>
      <mc:Fallback>
        <control shapeId="58387" r:id="rId9" name="live2textlabel"/>
      </mc:Fallback>
    </mc:AlternateContent>
    <mc:AlternateContent xmlns:mc="http://schemas.openxmlformats.org/markup-compatibility/2006">
      <mc:Choice Requires="x14">
        <control shapeId="58386" r:id="rId11" name="live1textlabel">
          <controlPr defaultSize="0" disabled="1" autoLine="0" r:id="rId12">
            <anchor moveWithCells="1">
              <from>
                <xdr:col>2</xdr:col>
                <xdr:colOff>373380</xdr:colOff>
                <xdr:row>14</xdr:row>
                <xdr:rowOff>121920</xdr:rowOff>
              </from>
              <to>
                <xdr:col>3</xdr:col>
                <xdr:colOff>419100</xdr:colOff>
                <xdr:row>16</xdr:row>
                <xdr:rowOff>7620</xdr:rowOff>
              </to>
            </anchor>
          </controlPr>
        </control>
      </mc:Choice>
      <mc:Fallback>
        <control shapeId="58386" r:id="rId11" name="live1textlabel"/>
      </mc:Fallback>
    </mc:AlternateContent>
    <mc:AlternateContent xmlns:mc="http://schemas.openxmlformats.org/markup-compatibility/2006">
      <mc:Choice Requires="x14">
        <control shapeId="58385" r:id="rId13" name="livecheck4">
          <controlPr defaultSize="0" autoLine="0" r:id="rId14">
            <anchor moveWithCells="1">
              <from>
                <xdr:col>11</xdr:col>
                <xdr:colOff>601980</xdr:colOff>
                <xdr:row>3</xdr:row>
                <xdr:rowOff>0</xdr:rowOff>
              </from>
              <to>
                <xdr:col>14</xdr:col>
                <xdr:colOff>175260</xdr:colOff>
                <xdr:row>6</xdr:row>
                <xdr:rowOff>160020</xdr:rowOff>
              </to>
            </anchor>
          </controlPr>
        </control>
      </mc:Choice>
      <mc:Fallback>
        <control shapeId="58385" r:id="rId13" name="livecheck4"/>
      </mc:Fallback>
    </mc:AlternateContent>
    <mc:AlternateContent xmlns:mc="http://schemas.openxmlformats.org/markup-compatibility/2006">
      <mc:Choice Requires="x14">
        <control shapeId="58384" r:id="rId15" name="livecheck3">
          <controlPr defaultSize="0" autoLine="0" r:id="rId16">
            <anchor moveWithCells="1">
              <from>
                <xdr:col>8</xdr:col>
                <xdr:colOff>266700</xdr:colOff>
                <xdr:row>3</xdr:row>
                <xdr:rowOff>0</xdr:rowOff>
              </from>
              <to>
                <xdr:col>10</xdr:col>
                <xdr:colOff>381000</xdr:colOff>
                <xdr:row>6</xdr:row>
                <xdr:rowOff>38100</xdr:rowOff>
              </to>
            </anchor>
          </controlPr>
        </control>
      </mc:Choice>
      <mc:Fallback>
        <control shapeId="58384" r:id="rId15" name="livecheck3"/>
      </mc:Fallback>
    </mc:AlternateContent>
    <mc:AlternateContent xmlns:mc="http://schemas.openxmlformats.org/markup-compatibility/2006">
      <mc:Choice Requires="x14">
        <control shapeId="58383" r:id="rId17" name="livecheck2">
          <controlPr defaultSize="0" autoLine="0" r:id="rId18">
            <anchor moveWithCells="1">
              <from>
                <xdr:col>4</xdr:col>
                <xdr:colOff>541020</xdr:colOff>
                <xdr:row>3</xdr:row>
                <xdr:rowOff>0</xdr:rowOff>
              </from>
              <to>
                <xdr:col>6</xdr:col>
                <xdr:colOff>571500</xdr:colOff>
                <xdr:row>6</xdr:row>
                <xdr:rowOff>76200</xdr:rowOff>
              </to>
            </anchor>
          </controlPr>
        </control>
      </mc:Choice>
      <mc:Fallback>
        <control shapeId="58383" r:id="rId17" name="livecheck2"/>
      </mc:Fallback>
    </mc:AlternateContent>
    <mc:AlternateContent xmlns:mc="http://schemas.openxmlformats.org/markup-compatibility/2006">
      <mc:Choice Requires="x14">
        <control shapeId="58382" r:id="rId19" name="livecheck1">
          <controlPr defaultSize="0" autoLine="0" r:id="rId20">
            <anchor moveWithCells="1">
              <from>
                <xdr:col>1</xdr:col>
                <xdr:colOff>220980</xdr:colOff>
                <xdr:row>3</xdr:row>
                <xdr:rowOff>0</xdr:rowOff>
              </from>
              <to>
                <xdr:col>3</xdr:col>
                <xdr:colOff>304800</xdr:colOff>
                <xdr:row>6</xdr:row>
                <xdr:rowOff>83820</xdr:rowOff>
              </to>
            </anchor>
          </controlPr>
        </control>
      </mc:Choice>
      <mc:Fallback>
        <control shapeId="58382" r:id="rId19" name="livecheck1"/>
      </mc:Fallback>
    </mc:AlternateContent>
    <mc:AlternateContent xmlns:mc="http://schemas.openxmlformats.org/markup-compatibility/2006">
      <mc:Choice Requires="x14">
        <control shapeId="58381" r:id="rId21" name="Label1">
          <controlPr defaultSize="0" autoLine="0" r:id="rId22">
            <anchor moveWithCells="1">
              <from>
                <xdr:col>2</xdr:col>
                <xdr:colOff>106680</xdr:colOff>
                <xdr:row>0</xdr:row>
                <xdr:rowOff>83820</xdr:rowOff>
              </from>
              <to>
                <xdr:col>14</xdr:col>
                <xdr:colOff>251460</xdr:colOff>
                <xdr:row>2</xdr:row>
                <xdr:rowOff>83820</xdr:rowOff>
              </to>
            </anchor>
          </controlPr>
        </control>
      </mc:Choice>
      <mc:Fallback>
        <control shapeId="58381" r:id="rId21" name="Label1"/>
      </mc:Fallback>
    </mc:AlternateContent>
    <mc:AlternateContent xmlns:mc="http://schemas.openxmlformats.org/markup-compatibility/2006">
      <mc:Choice Requires="x14">
        <control shapeId="58380" r:id="rId23" name="live4text">
          <controlPr defaultSize="0" disabled="1" autoLine="0" linkedCell="Livestock4" r:id="rId24">
            <anchor moveWithCells="1">
              <from>
                <xdr:col>11</xdr:col>
                <xdr:colOff>601980</xdr:colOff>
                <xdr:row>14</xdr:row>
                <xdr:rowOff>121920</xdr:rowOff>
              </from>
              <to>
                <xdr:col>12</xdr:col>
                <xdr:colOff>464820</xdr:colOff>
                <xdr:row>16</xdr:row>
                <xdr:rowOff>83820</xdr:rowOff>
              </to>
            </anchor>
          </controlPr>
        </control>
      </mc:Choice>
      <mc:Fallback>
        <control shapeId="58380" r:id="rId23" name="live4text"/>
      </mc:Fallback>
    </mc:AlternateContent>
    <mc:AlternateContent xmlns:mc="http://schemas.openxmlformats.org/markup-compatibility/2006">
      <mc:Choice Requires="x14">
        <control shapeId="58378" r:id="rId25" name="livestock4list">
          <controlPr locked="0" defaultSize="0" autoLine="0" linkedCell="Livetype4" listFillRange="MWPS.livestock.list" r:id="rId26">
            <anchor moveWithCells="1">
              <from>
                <xdr:col>11</xdr:col>
                <xdr:colOff>601980</xdr:colOff>
                <xdr:row>6</xdr:row>
                <xdr:rowOff>121920</xdr:rowOff>
              </from>
              <to>
                <xdr:col>14</xdr:col>
                <xdr:colOff>297180</xdr:colOff>
                <xdr:row>13</xdr:row>
                <xdr:rowOff>68580</xdr:rowOff>
              </to>
            </anchor>
          </controlPr>
        </control>
      </mc:Choice>
      <mc:Fallback>
        <control shapeId="58378" r:id="rId25" name="livestock4list"/>
      </mc:Fallback>
    </mc:AlternateContent>
    <mc:AlternateContent xmlns:mc="http://schemas.openxmlformats.org/markup-compatibility/2006">
      <mc:Choice Requires="x14">
        <control shapeId="58370" r:id="rId27" name="Livestock1list">
          <controlPr locked="0" defaultSize="0" autoLine="0" linkedCell="Livetype1" listFillRange="MWPS.livestock.list" r:id="rId28">
            <anchor moveWithCells="1">
              <from>
                <xdr:col>1</xdr:col>
                <xdr:colOff>220980</xdr:colOff>
                <xdr:row>6</xdr:row>
                <xdr:rowOff>121920</xdr:rowOff>
              </from>
              <to>
                <xdr:col>3</xdr:col>
                <xdr:colOff>525780</xdr:colOff>
                <xdr:row>13</xdr:row>
                <xdr:rowOff>68580</xdr:rowOff>
              </to>
            </anchor>
          </controlPr>
        </control>
      </mc:Choice>
      <mc:Fallback>
        <control shapeId="58370" r:id="rId27" name="Livestock1list"/>
      </mc:Fallback>
    </mc:AlternateContent>
    <mc:AlternateContent xmlns:mc="http://schemas.openxmlformats.org/markup-compatibility/2006">
      <mc:Choice Requires="x14">
        <control shapeId="58372" r:id="rId29" name="livestock2list">
          <controlPr locked="0" defaultSize="0" autoLine="0" linkedCell="Livetype2" listFillRange="MWPS.livestock.list" r:id="rId30">
            <anchor moveWithCells="1">
              <from>
                <xdr:col>4</xdr:col>
                <xdr:colOff>541020</xdr:colOff>
                <xdr:row>6</xdr:row>
                <xdr:rowOff>121920</xdr:rowOff>
              </from>
              <to>
                <xdr:col>7</xdr:col>
                <xdr:colOff>236220</xdr:colOff>
                <xdr:row>13</xdr:row>
                <xdr:rowOff>68580</xdr:rowOff>
              </to>
            </anchor>
          </controlPr>
        </control>
      </mc:Choice>
      <mc:Fallback>
        <control shapeId="58372" r:id="rId29" name="livestock2list"/>
      </mc:Fallback>
    </mc:AlternateContent>
    <mc:AlternateContent xmlns:mc="http://schemas.openxmlformats.org/markup-compatibility/2006">
      <mc:Choice Requires="x14">
        <control shapeId="58373" r:id="rId31" name="livestock3list">
          <controlPr locked="0" defaultSize="0" autoLine="0" linkedCell="Livetype3" listFillRange="MWPS.livestock.list" r:id="rId32">
            <anchor moveWithCells="1">
              <from>
                <xdr:col>8</xdr:col>
                <xdr:colOff>266700</xdr:colOff>
                <xdr:row>6</xdr:row>
                <xdr:rowOff>121920</xdr:rowOff>
              </from>
              <to>
                <xdr:col>10</xdr:col>
                <xdr:colOff>571500</xdr:colOff>
                <xdr:row>13</xdr:row>
                <xdr:rowOff>68580</xdr:rowOff>
              </to>
            </anchor>
          </controlPr>
        </control>
      </mc:Choice>
      <mc:Fallback>
        <control shapeId="58373" r:id="rId31" name="livestock3list"/>
      </mc:Fallback>
    </mc:AlternateContent>
    <mc:AlternateContent xmlns:mc="http://schemas.openxmlformats.org/markup-compatibility/2006">
      <mc:Choice Requires="x14">
        <control shapeId="58374" r:id="rId33" name="live1text">
          <controlPr defaultSize="0" disabled="1" autoLine="0" linkedCell="Livestock1" r:id="rId34">
            <anchor moveWithCells="1">
              <from>
                <xdr:col>1</xdr:col>
                <xdr:colOff>220980</xdr:colOff>
                <xdr:row>14</xdr:row>
                <xdr:rowOff>121920</xdr:rowOff>
              </from>
              <to>
                <xdr:col>2</xdr:col>
                <xdr:colOff>38100</xdr:colOff>
                <xdr:row>16</xdr:row>
                <xdr:rowOff>45720</xdr:rowOff>
              </to>
            </anchor>
          </controlPr>
        </control>
      </mc:Choice>
      <mc:Fallback>
        <control shapeId="58374" r:id="rId33" name="live1text"/>
      </mc:Fallback>
    </mc:AlternateContent>
    <mc:AlternateContent xmlns:mc="http://schemas.openxmlformats.org/markup-compatibility/2006">
      <mc:Choice Requires="x14">
        <control shapeId="58375" r:id="rId35" name="live2text">
          <controlPr defaultSize="0" disabled="1" autoLine="0" linkedCell="Livestock2" r:id="rId24">
            <anchor moveWithCells="1">
              <from>
                <xdr:col>4</xdr:col>
                <xdr:colOff>541020</xdr:colOff>
                <xdr:row>14</xdr:row>
                <xdr:rowOff>121920</xdr:rowOff>
              </from>
              <to>
                <xdr:col>5</xdr:col>
                <xdr:colOff>411480</xdr:colOff>
                <xdr:row>16</xdr:row>
                <xdr:rowOff>83820</xdr:rowOff>
              </to>
            </anchor>
          </controlPr>
        </control>
      </mc:Choice>
      <mc:Fallback>
        <control shapeId="58375" r:id="rId35" name="live2text"/>
      </mc:Fallback>
    </mc:AlternateContent>
    <mc:AlternateContent xmlns:mc="http://schemas.openxmlformats.org/markup-compatibility/2006">
      <mc:Choice Requires="x14">
        <control shapeId="58377" r:id="rId36" name="live3text">
          <controlPr defaultSize="0" disabled="1" autoLine="0" linkedCell="Livestock3" r:id="rId24">
            <anchor moveWithCells="1">
              <from>
                <xdr:col>8</xdr:col>
                <xdr:colOff>266700</xdr:colOff>
                <xdr:row>14</xdr:row>
                <xdr:rowOff>121920</xdr:rowOff>
              </from>
              <to>
                <xdr:col>9</xdr:col>
                <xdr:colOff>137160</xdr:colOff>
                <xdr:row>16</xdr:row>
                <xdr:rowOff>83820</xdr:rowOff>
              </to>
            </anchor>
          </controlPr>
        </control>
      </mc:Choice>
      <mc:Fallback>
        <control shapeId="58377" r:id="rId36" name="live3text"/>
      </mc:Fallback>
    </mc:AlternateContent>
    <mc:AlternateContent xmlns:mc="http://schemas.openxmlformats.org/markup-compatibility/2006">
      <mc:Choice Requires="x14">
        <control shapeId="58390" r:id="rId37" name="homelivestock">
          <controlPr defaultSize="0" autoLine="0" r:id="rId38">
            <anchor moveWithCells="1">
              <from>
                <xdr:col>0</xdr:col>
                <xdr:colOff>251460</xdr:colOff>
                <xdr:row>0</xdr:row>
                <xdr:rowOff>99060</xdr:rowOff>
              </from>
              <to>
                <xdr:col>1</xdr:col>
                <xdr:colOff>464820</xdr:colOff>
                <xdr:row>2</xdr:row>
                <xdr:rowOff>121920</xdr:rowOff>
              </to>
            </anchor>
          </controlPr>
        </control>
      </mc:Choice>
      <mc:Fallback>
        <control shapeId="58390" r:id="rId37" name="homelivestock"/>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
  <sheetViews>
    <sheetView showGridLines="0" workbookViewId="0">
      <selection activeCell="A2" sqref="A2"/>
    </sheetView>
  </sheetViews>
  <sheetFormatPr defaultColWidth="9.109375" defaultRowHeight="14.4" x14ac:dyDescent="0.3"/>
  <cols>
    <col min="1" max="16384" width="9.109375" style="9"/>
  </cols>
  <sheetData/>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17437" r:id="rId4" name="CommandButton2">
          <controlPr defaultSize="0" autoLine="0" r:id="rId5">
            <anchor moveWithCells="1">
              <from>
                <xdr:col>15</xdr:col>
                <xdr:colOff>571500</xdr:colOff>
                <xdr:row>0</xdr:row>
                <xdr:rowOff>76200</xdr:rowOff>
              </from>
              <to>
                <xdr:col>17</xdr:col>
                <xdr:colOff>297180</xdr:colOff>
                <xdr:row>2</xdr:row>
                <xdr:rowOff>144780</xdr:rowOff>
              </to>
            </anchor>
          </controlPr>
        </control>
      </mc:Choice>
      <mc:Fallback>
        <control shapeId="17437" r:id="rId4" name="CommandButton2"/>
      </mc:Fallback>
    </mc:AlternateContent>
    <mc:AlternateContent xmlns:mc="http://schemas.openxmlformats.org/markup-compatibility/2006">
      <mc:Choice Requires="x14">
        <control shapeId="17433" r:id="rId6" name="Label6">
          <controlPr defaultSize="0" autoLine="0" r:id="rId7">
            <anchor moveWithCells="1">
              <from>
                <xdr:col>3</xdr:col>
                <xdr:colOff>137160</xdr:colOff>
                <xdr:row>0</xdr:row>
                <xdr:rowOff>60960</xdr:rowOff>
              </from>
              <to>
                <xdr:col>15</xdr:col>
                <xdr:colOff>274320</xdr:colOff>
                <xdr:row>2</xdr:row>
                <xdr:rowOff>60960</xdr:rowOff>
              </to>
            </anchor>
          </controlPr>
        </control>
      </mc:Choice>
      <mc:Fallback>
        <control shapeId="17433" r:id="rId6" name="Label6"/>
      </mc:Fallback>
    </mc:AlternateContent>
    <mc:AlternateContent xmlns:mc="http://schemas.openxmlformats.org/markup-compatibility/2006">
      <mc:Choice Requires="x14">
        <control shapeId="17431" r:id="rId8" name="Soillist">
          <controlPr locked="0" defaultSize="0" disabled="1" autoLine="0" linkedCell="WatSoil" listFillRange="'input.form.data'!I2:I492" r:id="rId9">
            <anchor moveWithCells="1">
              <from>
                <xdr:col>1</xdr:col>
                <xdr:colOff>213360</xdr:colOff>
                <xdr:row>12</xdr:row>
                <xdr:rowOff>0</xdr:rowOff>
              </from>
              <to>
                <xdr:col>5</xdr:col>
                <xdr:colOff>563880</xdr:colOff>
                <xdr:row>35</xdr:row>
                <xdr:rowOff>68580</xdr:rowOff>
              </to>
            </anchor>
          </controlPr>
        </control>
      </mc:Choice>
      <mc:Fallback>
        <control shapeId="17431" r:id="rId8" name="Soillist"/>
      </mc:Fallback>
    </mc:AlternateContent>
    <mc:AlternateContent xmlns:mc="http://schemas.openxmlformats.org/markup-compatibility/2006">
      <mc:Choice Requires="x14">
        <control shapeId="17430" r:id="rId10" name="watershedarealabel">
          <controlPr defaultSize="0" autoLine="0" r:id="rId11">
            <anchor moveWithCells="1">
              <from>
                <xdr:col>2</xdr:col>
                <xdr:colOff>411480</xdr:colOff>
                <xdr:row>7</xdr:row>
                <xdr:rowOff>45720</xdr:rowOff>
              </from>
              <to>
                <xdr:col>4</xdr:col>
                <xdr:colOff>182880</xdr:colOff>
                <xdr:row>9</xdr:row>
                <xdr:rowOff>0</xdr:rowOff>
              </to>
            </anchor>
          </controlPr>
        </control>
      </mc:Choice>
      <mc:Fallback>
        <control shapeId="17430" r:id="rId10" name="watershedarealabel"/>
      </mc:Fallback>
    </mc:AlternateContent>
    <mc:AlternateContent xmlns:mc="http://schemas.openxmlformats.org/markup-compatibility/2006">
      <mc:Choice Requires="x14">
        <control shapeId="17429" r:id="rId12" name="watershedareatext">
          <controlPr defaultSize="0" autoLine="0" linkedCell="WatSize" r:id="rId13">
            <anchor moveWithCells="1" sizeWithCells="1">
              <from>
                <xdr:col>1</xdr:col>
                <xdr:colOff>335280</xdr:colOff>
                <xdr:row>7</xdr:row>
                <xdr:rowOff>106680</xdr:rowOff>
              </from>
              <to>
                <xdr:col>2</xdr:col>
                <xdr:colOff>137160</xdr:colOff>
                <xdr:row>8</xdr:row>
                <xdr:rowOff>137160</xdr:rowOff>
              </to>
            </anchor>
          </controlPr>
        </control>
      </mc:Choice>
      <mc:Fallback>
        <control shapeId="17429" r:id="rId12" name="watershedareatext"/>
      </mc:Fallback>
    </mc:AlternateContent>
    <mc:AlternateContent xmlns:mc="http://schemas.openxmlformats.org/markup-compatibility/2006">
      <mc:Choice Requires="x14">
        <control shapeId="17426" r:id="rId14" name="wat3check">
          <controlPr defaultSize="0" autoLine="0" r:id="rId15">
            <anchor moveWithCells="1">
              <from>
                <xdr:col>17</xdr:col>
                <xdr:colOff>68580</xdr:colOff>
                <xdr:row>7</xdr:row>
                <xdr:rowOff>121920</xdr:rowOff>
              </from>
              <to>
                <xdr:col>19</xdr:col>
                <xdr:colOff>198120</xdr:colOff>
                <xdr:row>10</xdr:row>
                <xdr:rowOff>22860</xdr:rowOff>
              </to>
            </anchor>
          </controlPr>
        </control>
      </mc:Choice>
      <mc:Fallback>
        <control shapeId="17426" r:id="rId14" name="wat3check"/>
      </mc:Fallback>
    </mc:AlternateContent>
    <mc:AlternateContent xmlns:mc="http://schemas.openxmlformats.org/markup-compatibility/2006">
      <mc:Choice Requires="x14">
        <control shapeId="17425" r:id="rId16" name="wat2check">
          <controlPr defaultSize="0" autoLine="0" r:id="rId17">
            <anchor moveWithCells="1">
              <from>
                <xdr:col>12</xdr:col>
                <xdr:colOff>144780</xdr:colOff>
                <xdr:row>7</xdr:row>
                <xdr:rowOff>106680</xdr:rowOff>
              </from>
              <to>
                <xdr:col>14</xdr:col>
                <xdr:colOff>327660</xdr:colOff>
                <xdr:row>9</xdr:row>
                <xdr:rowOff>144780</xdr:rowOff>
              </to>
            </anchor>
          </controlPr>
        </control>
      </mc:Choice>
      <mc:Fallback>
        <control shapeId="17425" r:id="rId16" name="wat2check"/>
      </mc:Fallback>
    </mc:AlternateContent>
    <mc:AlternateContent xmlns:mc="http://schemas.openxmlformats.org/markup-compatibility/2006">
      <mc:Choice Requires="x14">
        <control shapeId="17424" r:id="rId18" name="wat1check">
          <controlPr defaultSize="0" autoLine="0" r:id="rId19">
            <anchor moveWithCells="1">
              <from>
                <xdr:col>7</xdr:col>
                <xdr:colOff>182880</xdr:colOff>
                <xdr:row>7</xdr:row>
                <xdr:rowOff>99060</xdr:rowOff>
              </from>
              <to>
                <xdr:col>9</xdr:col>
                <xdr:colOff>342900</xdr:colOff>
                <xdr:row>9</xdr:row>
                <xdr:rowOff>160020</xdr:rowOff>
              </to>
            </anchor>
          </controlPr>
        </control>
      </mc:Choice>
      <mc:Fallback>
        <control shapeId="17424" r:id="rId18" name="wat1check"/>
      </mc:Fallback>
    </mc:AlternateContent>
    <mc:AlternateContent xmlns:mc="http://schemas.openxmlformats.org/markup-compatibility/2006">
      <mc:Choice Requires="x14">
        <control shapeId="17423" r:id="rId20" name="watershed3arealabel">
          <controlPr defaultSize="0" autoLine="0" r:id="rId21">
            <anchor moveWithCells="1">
              <from>
                <xdr:col>19</xdr:col>
                <xdr:colOff>487680</xdr:colOff>
                <xdr:row>32</xdr:row>
                <xdr:rowOff>0</xdr:rowOff>
              </from>
              <to>
                <xdr:col>20</xdr:col>
                <xdr:colOff>609600</xdr:colOff>
                <xdr:row>33</xdr:row>
                <xdr:rowOff>106680</xdr:rowOff>
              </to>
            </anchor>
          </controlPr>
        </control>
      </mc:Choice>
      <mc:Fallback>
        <control shapeId="17423" r:id="rId20" name="watershed3arealabel"/>
      </mc:Fallback>
    </mc:AlternateContent>
    <mc:AlternateContent xmlns:mc="http://schemas.openxmlformats.org/markup-compatibility/2006">
      <mc:Choice Requires="x14">
        <control shapeId="17422" r:id="rId22" name="watershed2arealabel">
          <controlPr defaultSize="0" autoLine="0" r:id="rId23">
            <anchor moveWithCells="1">
              <from>
                <xdr:col>14</xdr:col>
                <xdr:colOff>106680</xdr:colOff>
                <xdr:row>32</xdr:row>
                <xdr:rowOff>0</xdr:rowOff>
              </from>
              <to>
                <xdr:col>15</xdr:col>
                <xdr:colOff>228600</xdr:colOff>
                <xdr:row>33</xdr:row>
                <xdr:rowOff>106680</xdr:rowOff>
              </to>
            </anchor>
          </controlPr>
        </control>
      </mc:Choice>
      <mc:Fallback>
        <control shapeId="17422" r:id="rId22" name="watershed2arealabel"/>
      </mc:Fallback>
    </mc:AlternateContent>
    <mc:AlternateContent xmlns:mc="http://schemas.openxmlformats.org/markup-compatibility/2006">
      <mc:Choice Requires="x14">
        <control shapeId="17421" r:id="rId24" name="watershed1arealabel">
          <controlPr defaultSize="0" autoLine="0" r:id="rId25">
            <anchor moveWithCells="1">
              <from>
                <xdr:col>9</xdr:col>
                <xdr:colOff>106680</xdr:colOff>
                <xdr:row>32</xdr:row>
                <xdr:rowOff>0</xdr:rowOff>
              </from>
              <to>
                <xdr:col>10</xdr:col>
                <xdr:colOff>228600</xdr:colOff>
                <xdr:row>33</xdr:row>
                <xdr:rowOff>106680</xdr:rowOff>
              </to>
            </anchor>
          </controlPr>
        </control>
      </mc:Choice>
      <mc:Fallback>
        <control shapeId="17421" r:id="rId24" name="watershed1arealabel"/>
      </mc:Fallback>
    </mc:AlternateContent>
    <mc:AlternateContent xmlns:mc="http://schemas.openxmlformats.org/markup-compatibility/2006">
      <mc:Choice Requires="x14">
        <control shapeId="17420" r:id="rId26" name="watarea3text">
          <controlPr defaultSize="0" disabled="1" autoLine="0" linkedCell="watarea3" r:id="rId27">
            <anchor moveWithCells="1">
              <from>
                <xdr:col>18</xdr:col>
                <xdr:colOff>403860</xdr:colOff>
                <xdr:row>31</xdr:row>
                <xdr:rowOff>121920</xdr:rowOff>
              </from>
              <to>
                <xdr:col>19</xdr:col>
                <xdr:colOff>266700</xdr:colOff>
                <xdr:row>33</xdr:row>
                <xdr:rowOff>68580</xdr:rowOff>
              </to>
            </anchor>
          </controlPr>
        </control>
      </mc:Choice>
      <mc:Fallback>
        <control shapeId="17420" r:id="rId26" name="watarea3text"/>
      </mc:Fallback>
    </mc:AlternateContent>
    <mc:AlternateContent xmlns:mc="http://schemas.openxmlformats.org/markup-compatibility/2006">
      <mc:Choice Requires="x14">
        <control shapeId="17419" r:id="rId28" name="watarea2text">
          <controlPr defaultSize="0" disabled="1" autoLine="0" linkedCell="watarea2" r:id="rId29">
            <anchor moveWithCells="1">
              <from>
                <xdr:col>12</xdr:col>
                <xdr:colOff>563880</xdr:colOff>
                <xdr:row>31</xdr:row>
                <xdr:rowOff>121920</xdr:rowOff>
              </from>
              <to>
                <xdr:col>13</xdr:col>
                <xdr:colOff>365760</xdr:colOff>
                <xdr:row>33</xdr:row>
                <xdr:rowOff>99060</xdr:rowOff>
              </to>
            </anchor>
          </controlPr>
        </control>
      </mc:Choice>
      <mc:Fallback>
        <control shapeId="17419" r:id="rId28" name="watarea2text"/>
      </mc:Fallback>
    </mc:AlternateContent>
    <mc:AlternateContent xmlns:mc="http://schemas.openxmlformats.org/markup-compatibility/2006">
      <mc:Choice Requires="x14">
        <control shapeId="17418" r:id="rId30" name="watarea1text">
          <controlPr defaultSize="0" disabled="1" autoLine="0" linkedCell="watarea1" r:id="rId31">
            <anchor moveWithCells="1">
              <from>
                <xdr:col>7</xdr:col>
                <xdr:colOff>556260</xdr:colOff>
                <xdr:row>31</xdr:row>
                <xdr:rowOff>121920</xdr:rowOff>
              </from>
              <to>
                <xdr:col>8</xdr:col>
                <xdr:colOff>373380</xdr:colOff>
                <xdr:row>33</xdr:row>
                <xdr:rowOff>45720</xdr:rowOff>
              </to>
            </anchor>
          </controlPr>
        </control>
      </mc:Choice>
      <mc:Fallback>
        <control shapeId="17418" r:id="rId30" name="watarea1text"/>
      </mc:Fallback>
    </mc:AlternateContent>
    <mc:AlternateContent xmlns:mc="http://schemas.openxmlformats.org/markup-compatibility/2006">
      <mc:Choice Requires="x14">
        <control shapeId="17411" r:id="rId32" name="covlist3">
          <controlPr locked="0" defaultSize="0" disabled="1" autoLine="0" linkedCell="cover3" listFillRange="covertype3" r:id="rId33">
            <anchor moveWithCells="1">
              <from>
                <xdr:col>16</xdr:col>
                <xdr:colOff>411480</xdr:colOff>
                <xdr:row>12</xdr:row>
                <xdr:rowOff>0</xdr:rowOff>
              </from>
              <to>
                <xdr:col>21</xdr:col>
                <xdr:colOff>152400</xdr:colOff>
                <xdr:row>28</xdr:row>
                <xdr:rowOff>121920</xdr:rowOff>
              </to>
            </anchor>
          </controlPr>
        </control>
      </mc:Choice>
      <mc:Fallback>
        <control shapeId="17411" r:id="rId32" name="covlist3"/>
      </mc:Fallback>
    </mc:AlternateContent>
    <mc:AlternateContent xmlns:mc="http://schemas.openxmlformats.org/markup-compatibility/2006">
      <mc:Choice Requires="x14">
        <control shapeId="17410" r:id="rId34" name="covlist2">
          <controlPr locked="0" defaultSize="0" disabled="1" autoLine="0" linkedCell="cover2" listFillRange="covertype2" r:id="rId35">
            <anchor moveWithCells="1">
              <from>
                <xdr:col>11</xdr:col>
                <xdr:colOff>152400</xdr:colOff>
                <xdr:row>12</xdr:row>
                <xdr:rowOff>0</xdr:rowOff>
              </from>
              <to>
                <xdr:col>15</xdr:col>
                <xdr:colOff>502920</xdr:colOff>
                <xdr:row>28</xdr:row>
                <xdr:rowOff>121920</xdr:rowOff>
              </to>
            </anchor>
          </controlPr>
        </control>
      </mc:Choice>
      <mc:Fallback>
        <control shapeId="17410" r:id="rId34" name="covlist2"/>
      </mc:Fallback>
    </mc:AlternateContent>
    <mc:AlternateContent xmlns:mc="http://schemas.openxmlformats.org/markup-compatibility/2006">
      <mc:Choice Requires="x14">
        <control shapeId="17409" r:id="rId36" name="covlist1">
          <controlPr locked="0" defaultSize="0" disabled="1" autoLine="0" linkedCell="cover1" listFillRange="covertype1" r:id="rId37">
            <anchor moveWithCells="1">
              <from>
                <xdr:col>6</xdr:col>
                <xdr:colOff>152400</xdr:colOff>
                <xdr:row>12</xdr:row>
                <xdr:rowOff>0</xdr:rowOff>
              </from>
              <to>
                <xdr:col>10</xdr:col>
                <xdr:colOff>502920</xdr:colOff>
                <xdr:row>28</xdr:row>
                <xdr:rowOff>121920</xdr:rowOff>
              </to>
            </anchor>
          </controlPr>
        </control>
      </mc:Choice>
      <mc:Fallback>
        <control shapeId="17409" r:id="rId36" name="covlist1"/>
      </mc:Fallback>
    </mc:AlternateContent>
    <mc:AlternateContent xmlns:mc="http://schemas.openxmlformats.org/markup-compatibility/2006">
      <mc:Choice Requires="x14">
        <control shapeId="17434" r:id="rId38" name="runoffcheck1">
          <controlPr defaultSize="0" autoLine="0" autoPict="0" linkedCell="simplemethod" r:id="rId39">
            <anchor moveWithCells="1">
              <from>
                <xdr:col>1</xdr:col>
                <xdr:colOff>327660</xdr:colOff>
                <xdr:row>3</xdr:row>
                <xdr:rowOff>38100</xdr:rowOff>
              </from>
              <to>
                <xdr:col>4</xdr:col>
                <xdr:colOff>213360</xdr:colOff>
                <xdr:row>4</xdr:row>
                <xdr:rowOff>144780</xdr:rowOff>
              </to>
            </anchor>
          </controlPr>
        </control>
      </mc:Choice>
      <mc:Fallback>
        <control shapeId="17434" r:id="rId38" name="runoffcheck1"/>
      </mc:Fallback>
    </mc:AlternateContent>
    <mc:AlternateContent xmlns:mc="http://schemas.openxmlformats.org/markup-compatibility/2006">
      <mc:Choice Requires="x14">
        <control shapeId="17435" r:id="rId40" name="runoffcheck2">
          <controlPr defaultSize="0" autoLine="0" r:id="rId41">
            <anchor moveWithCells="1">
              <from>
                <xdr:col>1</xdr:col>
                <xdr:colOff>304800</xdr:colOff>
                <xdr:row>5</xdr:row>
                <xdr:rowOff>30480</xdr:rowOff>
              </from>
              <to>
                <xdr:col>4</xdr:col>
                <xdr:colOff>190500</xdr:colOff>
                <xdr:row>6</xdr:row>
                <xdr:rowOff>137160</xdr:rowOff>
              </to>
            </anchor>
          </controlPr>
        </control>
      </mc:Choice>
      <mc:Fallback>
        <control shapeId="17435" r:id="rId40" name="runoffcheck2"/>
      </mc:Fallback>
    </mc:AlternateContent>
    <mc:AlternateContent xmlns:mc="http://schemas.openxmlformats.org/markup-compatibility/2006">
      <mc:Choice Requires="x14">
        <control shapeId="17436" r:id="rId42" name="CommandButton1">
          <controlPr defaultSize="0" autoLine="0" r:id="rId43">
            <anchor moveWithCells="1">
              <from>
                <xdr:col>0</xdr:col>
                <xdr:colOff>144780</xdr:colOff>
                <xdr:row>0</xdr:row>
                <xdr:rowOff>68580</xdr:rowOff>
              </from>
              <to>
                <xdr:col>1</xdr:col>
                <xdr:colOff>274320</xdr:colOff>
                <xdr:row>2</xdr:row>
                <xdr:rowOff>60960</xdr:rowOff>
              </to>
            </anchor>
          </controlPr>
        </control>
      </mc:Choice>
      <mc:Fallback>
        <control shapeId="17436" r:id="rId42" name="CommandButton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C1:O28"/>
  <sheetViews>
    <sheetView showGridLines="0" workbookViewId="0">
      <selection activeCell="I20" sqref="I20"/>
    </sheetView>
  </sheetViews>
  <sheetFormatPr defaultRowHeight="14.4" x14ac:dyDescent="0.3"/>
  <cols>
    <col min="3" max="3" width="15.6640625" customWidth="1"/>
    <col min="4" max="4" width="12.5546875" customWidth="1"/>
    <col min="9" max="9" width="12.5546875" customWidth="1"/>
    <col min="12" max="12" width="11.33203125" customWidth="1"/>
    <col min="13" max="13" width="13" customWidth="1"/>
  </cols>
  <sheetData>
    <row r="1" spans="3:15" ht="15.6" x14ac:dyDescent="0.3">
      <c r="C1" s="27" t="s">
        <v>9</v>
      </c>
      <c r="D1" s="33" t="str">
        <f>county</f>
        <v xml:space="preserve">Davidson </v>
      </c>
      <c r="E1" s="28"/>
    </row>
    <row r="2" spans="3:15" ht="15.6" x14ac:dyDescent="0.3">
      <c r="C2" s="29" t="s">
        <v>912</v>
      </c>
      <c r="D2" s="34" t="str">
        <f>wattotarea</f>
        <v>25</v>
      </c>
      <c r="E2" s="30" t="s">
        <v>914</v>
      </c>
    </row>
    <row r="3" spans="3:15" ht="16.2" thickBot="1" x14ac:dyDescent="0.35">
      <c r="C3" s="31" t="s">
        <v>913</v>
      </c>
      <c r="D3" s="35">
        <f>total.acres</f>
        <v>100</v>
      </c>
      <c r="E3" s="32" t="s">
        <v>914</v>
      </c>
    </row>
    <row r="5" spans="3:15" ht="15.6" x14ac:dyDescent="0.3">
      <c r="C5" s="12"/>
      <c r="D5" s="13" t="s">
        <v>902</v>
      </c>
      <c r="E5" s="13" t="s">
        <v>897</v>
      </c>
      <c r="F5" s="13" t="s">
        <v>897</v>
      </c>
      <c r="G5" s="152" t="s">
        <v>990</v>
      </c>
      <c r="H5" s="153"/>
      <c r="I5" s="153"/>
      <c r="J5" s="153"/>
      <c r="K5" s="45" t="s">
        <v>989</v>
      </c>
      <c r="L5" s="152" t="s">
        <v>905</v>
      </c>
      <c r="M5" s="154"/>
      <c r="O5" t="s">
        <v>1004</v>
      </c>
    </row>
    <row r="6" spans="3:15" ht="15.6" x14ac:dyDescent="0.3">
      <c r="C6" s="14" t="s">
        <v>396</v>
      </c>
      <c r="D6" s="15" t="s">
        <v>903</v>
      </c>
      <c r="E6" s="15" t="s">
        <v>909</v>
      </c>
      <c r="F6" s="15" t="s">
        <v>892</v>
      </c>
      <c r="G6" s="15" t="s">
        <v>898</v>
      </c>
      <c r="H6" s="15" t="s">
        <v>899</v>
      </c>
      <c r="I6" s="15" t="s">
        <v>900</v>
      </c>
      <c r="J6" s="15" t="s">
        <v>904</v>
      </c>
      <c r="K6" s="46" t="s">
        <v>988</v>
      </c>
      <c r="L6" s="15" t="s">
        <v>910</v>
      </c>
      <c r="M6" s="16" t="s">
        <v>911</v>
      </c>
      <c r="N6" t="s">
        <v>907</v>
      </c>
      <c r="O6" s="15" t="s">
        <v>1005</v>
      </c>
    </row>
    <row r="7" spans="3:15" ht="15.6" x14ac:dyDescent="0.3">
      <c r="C7" s="14">
        <v>1</v>
      </c>
      <c r="D7" s="15">
        <f>+'runoff.model'!B2</f>
        <v>3.59</v>
      </c>
      <c r="E7" s="17">
        <f>IF(wattotarea&lt;&gt;"",+'runoff.model'!K2*12/wattotarea,0)</f>
        <v>0.64786826077148663</v>
      </c>
      <c r="F7" s="17">
        <f>IF(wattotarea&lt;&gt;"",+'runoff.model'!K2,0)</f>
        <v>1.3497255432739304</v>
      </c>
      <c r="G7" s="17">
        <f>+'water.demand.model'!S2</f>
        <v>0</v>
      </c>
      <c r="H7" s="17">
        <f>+'water.demand.model'!T2</f>
        <v>0</v>
      </c>
      <c r="I7" s="17">
        <f>+'water.demand.model'!V2</f>
        <v>0</v>
      </c>
      <c r="J7" s="17">
        <f>SUM(H7,I7)</f>
        <v>0</v>
      </c>
      <c r="K7" s="47">
        <f>ABS(MIN(0,F7-J7))</f>
        <v>0</v>
      </c>
      <c r="L7" s="17">
        <f>+F7</f>
        <v>1.3497255432739304</v>
      </c>
      <c r="M7" s="18">
        <f>+J7</f>
        <v>0</v>
      </c>
      <c r="N7" s="5">
        <f>+L7-M7</f>
        <v>1.3497255432739304</v>
      </c>
      <c r="O7" s="5">
        <f>+F7-J7</f>
        <v>1.3497255432739304</v>
      </c>
    </row>
    <row r="8" spans="3:15" ht="15.6" x14ac:dyDescent="0.3">
      <c r="C8" s="14">
        <v>2</v>
      </c>
      <c r="D8" s="15">
        <f>+'runoff.model'!B3</f>
        <v>3.71</v>
      </c>
      <c r="E8" s="17">
        <f>IF(wattotarea&lt;&gt;"",+'runoff.model'!K3*12/wattotarea,0)</f>
        <v>0.66952402436273406</v>
      </c>
      <c r="F8" s="17">
        <f>IF(wattotarea&lt;&gt;"",+'runoff.model'!K3,0)</f>
        <v>1.3948417174223626</v>
      </c>
      <c r="G8" s="17">
        <f>+'water.demand.model'!S3</f>
        <v>0</v>
      </c>
      <c r="H8" s="17">
        <f>+'water.demand.model'!T3</f>
        <v>0</v>
      </c>
      <c r="I8" s="17">
        <f>+'water.demand.model'!V3</f>
        <v>0</v>
      </c>
      <c r="J8" s="17">
        <f t="shared" ref="J8:J18" si="0">SUM(H8,I8)</f>
        <v>0</v>
      </c>
      <c r="K8" s="47">
        <f t="shared" ref="K8:K18" si="1">ABS(MIN(0,F8-J8))</f>
        <v>0</v>
      </c>
      <c r="L8" s="17">
        <f>+L7+F8</f>
        <v>2.744567260696293</v>
      </c>
      <c r="M8" s="18">
        <f>+M7+J8</f>
        <v>0</v>
      </c>
      <c r="N8" s="5">
        <f t="shared" ref="N8:N18" si="2">+L8-M8</f>
        <v>2.744567260696293</v>
      </c>
      <c r="O8" s="5">
        <f t="shared" ref="O8:O18" si="3">+F8-J8</f>
        <v>1.3948417174223626</v>
      </c>
    </row>
    <row r="9" spans="3:15" ht="15.6" x14ac:dyDescent="0.3">
      <c r="C9" s="14">
        <v>3</v>
      </c>
      <c r="D9" s="15">
        <f>+'runoff.model'!B4</f>
        <v>4.04</v>
      </c>
      <c r="E9" s="17">
        <f>IF(wattotarea&lt;&gt;"",+'runoff.model'!K4*12/wattotarea,0)</f>
        <v>0.7290773742386647</v>
      </c>
      <c r="F9" s="17">
        <f>IF(wattotarea&lt;&gt;"",+'runoff.model'!K4,0)</f>
        <v>1.5189111963305513</v>
      </c>
      <c r="G9" s="17">
        <f>+'water.demand.model'!S4</f>
        <v>0</v>
      </c>
      <c r="H9" s="17">
        <f>+'water.demand.model'!T4</f>
        <v>0</v>
      </c>
      <c r="I9" s="17">
        <f>+'water.demand.model'!V4</f>
        <v>0</v>
      </c>
      <c r="J9" s="17">
        <f t="shared" si="0"/>
        <v>0</v>
      </c>
      <c r="K9" s="47">
        <f t="shared" si="1"/>
        <v>0</v>
      </c>
      <c r="L9" s="17">
        <f t="shared" ref="L9:L18" si="4">+L8+F9</f>
        <v>4.263478457026844</v>
      </c>
      <c r="M9" s="18">
        <f t="shared" ref="M9:M18" si="5">+M8+J9</f>
        <v>0</v>
      </c>
      <c r="N9" s="5">
        <f t="shared" si="2"/>
        <v>4.263478457026844</v>
      </c>
      <c r="O9" s="5">
        <f t="shared" si="3"/>
        <v>1.5189111963305513</v>
      </c>
    </row>
    <row r="10" spans="3:15" ht="15.6" x14ac:dyDescent="0.3">
      <c r="C10" s="14">
        <v>4</v>
      </c>
      <c r="D10" s="15">
        <f>+'runoff.model'!B5</f>
        <v>3.72</v>
      </c>
      <c r="E10" s="17">
        <f>IF(wattotarea&lt;&gt;"",+'runoff.model'!K5*12/wattotarea,0)</f>
        <v>0.67132867132867136</v>
      </c>
      <c r="F10" s="17">
        <f>IF(wattotarea&lt;&gt;"",+'runoff.model'!K5,0)</f>
        <v>1.3986013986013985</v>
      </c>
      <c r="G10" s="17">
        <f>+'water.demand.model'!S5</f>
        <v>0</v>
      </c>
      <c r="H10" s="17">
        <f>+'water.demand.model'!T5</f>
        <v>0</v>
      </c>
      <c r="I10" s="17">
        <f>+'water.demand.model'!V5</f>
        <v>0</v>
      </c>
      <c r="J10" s="17">
        <f t="shared" si="0"/>
        <v>0</v>
      </c>
      <c r="K10" s="47">
        <f t="shared" si="1"/>
        <v>0</v>
      </c>
      <c r="L10" s="17">
        <f t="shared" si="4"/>
        <v>5.6620798556282423</v>
      </c>
      <c r="M10" s="18">
        <f t="shared" si="5"/>
        <v>0</v>
      </c>
      <c r="N10" s="5">
        <f t="shared" si="2"/>
        <v>5.6620798556282423</v>
      </c>
      <c r="O10" s="5">
        <f t="shared" si="3"/>
        <v>1.3986013986013985</v>
      </c>
    </row>
    <row r="11" spans="3:15" ht="15.6" x14ac:dyDescent="0.3">
      <c r="C11" s="14">
        <v>5</v>
      </c>
      <c r="D11" s="15">
        <f>+'runoff.model'!B6</f>
        <v>3.21</v>
      </c>
      <c r="E11" s="17">
        <f>IF(wattotarea&lt;&gt;"",+'runoff.model'!K6*12/wattotarea,0)</f>
        <v>0.57929167606586962</v>
      </c>
      <c r="F11" s="17">
        <f>IF(wattotarea&lt;&gt;"",+'runoff.model'!K6,0)</f>
        <v>1.2068576584705617</v>
      </c>
      <c r="G11" s="17">
        <f>+'water.demand.model'!S6</f>
        <v>4.763133908451211</v>
      </c>
      <c r="H11" s="17">
        <f>+'water.demand.model'!T6</f>
        <v>39.692782570426758</v>
      </c>
      <c r="I11" s="17">
        <f>+'water.demand.model'!V6</f>
        <v>0</v>
      </c>
      <c r="J11" s="17">
        <f t="shared" si="0"/>
        <v>39.692782570426758</v>
      </c>
      <c r="K11" s="92">
        <f t="shared" si="1"/>
        <v>38.485924911956197</v>
      </c>
      <c r="L11" s="17">
        <f t="shared" si="4"/>
        <v>6.8689375140988043</v>
      </c>
      <c r="M11" s="18">
        <f t="shared" si="5"/>
        <v>39.692782570426758</v>
      </c>
      <c r="N11" s="5">
        <f t="shared" si="2"/>
        <v>-32.823845056327954</v>
      </c>
      <c r="O11" s="5">
        <f t="shared" si="3"/>
        <v>-38.485924911956197</v>
      </c>
    </row>
    <row r="12" spans="3:15" ht="15.6" x14ac:dyDescent="0.3">
      <c r="C12" s="14">
        <v>6</v>
      </c>
      <c r="D12" s="15">
        <f>+'runoff.model'!B7</f>
        <v>4.1399999999999997</v>
      </c>
      <c r="E12" s="17">
        <f>IF(wattotarea&lt;&gt;"",+'runoff.model'!K7*12/wattotarea,0)</f>
        <v>0.74712384389803743</v>
      </c>
      <c r="F12" s="17">
        <f>IF(wattotarea&lt;&gt;"",+'runoff.model'!K7,0)</f>
        <v>1.5565080081209113</v>
      </c>
      <c r="G12" s="17">
        <f>+'water.demand.model'!S7</f>
        <v>6.9966095018758274</v>
      </c>
      <c r="H12" s="17">
        <f>+'water.demand.model'!T7</f>
        <v>58.305079182298556</v>
      </c>
      <c r="I12" s="17">
        <f>+'water.demand.model'!V7</f>
        <v>0</v>
      </c>
      <c r="J12" s="17">
        <f t="shared" si="0"/>
        <v>58.305079182298556</v>
      </c>
      <c r="K12" s="92">
        <f t="shared" si="1"/>
        <v>56.748571174177641</v>
      </c>
      <c r="L12" s="17">
        <f t="shared" si="4"/>
        <v>8.4254455222197162</v>
      </c>
      <c r="M12" s="18">
        <f t="shared" si="5"/>
        <v>97.997861752725314</v>
      </c>
      <c r="N12" s="5">
        <f t="shared" si="2"/>
        <v>-89.572416230505596</v>
      </c>
      <c r="O12" s="5">
        <f t="shared" si="3"/>
        <v>-56.748571174177641</v>
      </c>
    </row>
    <row r="13" spans="3:15" ht="15.6" x14ac:dyDescent="0.3">
      <c r="C13" s="14">
        <v>7</v>
      </c>
      <c r="D13" s="15">
        <f>+'runoff.model'!B8</f>
        <v>4.0599999999999996</v>
      </c>
      <c r="E13" s="17">
        <f>IF(wattotarea&lt;&gt;"",+'runoff.model'!K8*12/wattotarea,0)</f>
        <v>0.73268666817053907</v>
      </c>
      <c r="F13" s="17">
        <f>IF(wattotarea&lt;&gt;"",+'runoff.model'!K8,0)</f>
        <v>1.5264305586886231</v>
      </c>
      <c r="G13" s="17">
        <f>+'water.demand.model'!S8</f>
        <v>5.8304186597457708</v>
      </c>
      <c r="H13" s="17">
        <f>+'water.demand.model'!T8</f>
        <v>48.586822164548089</v>
      </c>
      <c r="I13" s="17">
        <f>+'water.demand.model'!V8</f>
        <v>0</v>
      </c>
      <c r="J13" s="17">
        <f t="shared" si="0"/>
        <v>48.586822164548089</v>
      </c>
      <c r="K13" s="92">
        <f t="shared" si="1"/>
        <v>47.060391605859465</v>
      </c>
      <c r="L13" s="17">
        <f t="shared" si="4"/>
        <v>9.95187608090834</v>
      </c>
      <c r="M13" s="18">
        <f t="shared" si="5"/>
        <v>146.5846839172734</v>
      </c>
      <c r="N13" s="5">
        <f t="shared" si="2"/>
        <v>-136.63280783636506</v>
      </c>
      <c r="O13" s="5">
        <f t="shared" si="3"/>
        <v>-47.060391605859465</v>
      </c>
    </row>
    <row r="14" spans="3:15" ht="15.6" x14ac:dyDescent="0.3">
      <c r="C14" s="14">
        <v>8</v>
      </c>
      <c r="D14" s="15">
        <f>+'runoff.model'!B9</f>
        <v>4.12</v>
      </c>
      <c r="E14" s="17">
        <f>IF(wattotarea&lt;&gt;"",+'runoff.model'!K9*12/wattotarea,0)</f>
        <v>0.74351454996616295</v>
      </c>
      <c r="F14" s="17">
        <f>IF(wattotarea&lt;&gt;"",+'runoff.model'!K9,0)</f>
        <v>1.5489886457628395</v>
      </c>
      <c r="G14" s="17">
        <f>+'water.demand.model'!S9</f>
        <v>0</v>
      </c>
      <c r="H14" s="17">
        <f>+'water.demand.model'!T9</f>
        <v>0</v>
      </c>
      <c r="I14" s="17">
        <f>+'water.demand.model'!V9</f>
        <v>0</v>
      </c>
      <c r="J14" s="17">
        <f t="shared" si="0"/>
        <v>0</v>
      </c>
      <c r="K14" s="92">
        <f t="shared" si="1"/>
        <v>0</v>
      </c>
      <c r="L14" s="17">
        <f t="shared" si="4"/>
        <v>11.50086472667118</v>
      </c>
      <c r="M14" s="18">
        <f t="shared" si="5"/>
        <v>146.5846839172734</v>
      </c>
      <c r="N14" s="5">
        <f t="shared" si="2"/>
        <v>-135.08381919060221</v>
      </c>
      <c r="O14" s="5">
        <f t="shared" si="3"/>
        <v>1.5489886457628395</v>
      </c>
    </row>
    <row r="15" spans="3:15" ht="15.6" x14ac:dyDescent="0.3">
      <c r="C15" s="14">
        <v>9</v>
      </c>
      <c r="D15" s="15">
        <f>+'runoff.model'!B10</f>
        <v>3.82</v>
      </c>
      <c r="E15" s="17">
        <f>IF(wattotarea&lt;&gt;"",+'runoff.model'!K10*12/wattotarea,0)</f>
        <v>0.68937514098804431</v>
      </c>
      <c r="F15" s="17">
        <f>IF(wattotarea&lt;&gt;"",+'runoff.model'!K10,0)</f>
        <v>1.4361982103917588</v>
      </c>
      <c r="G15" s="17">
        <f>+'water.demand.model'!S10</f>
        <v>0</v>
      </c>
      <c r="H15" s="17">
        <f>+'water.demand.model'!T10</f>
        <v>0</v>
      </c>
      <c r="I15" s="17">
        <f>+'water.demand.model'!V10</f>
        <v>0</v>
      </c>
      <c r="J15" s="17">
        <f t="shared" si="0"/>
        <v>0</v>
      </c>
      <c r="K15" s="92">
        <f t="shared" si="1"/>
        <v>0</v>
      </c>
      <c r="L15" s="17">
        <f t="shared" si="4"/>
        <v>12.937062937062938</v>
      </c>
      <c r="M15" s="18">
        <f t="shared" si="5"/>
        <v>146.5846839172734</v>
      </c>
      <c r="N15" s="5">
        <f t="shared" si="2"/>
        <v>-133.64762098021046</v>
      </c>
      <c r="O15" s="5">
        <f t="shared" si="3"/>
        <v>1.4361982103917588</v>
      </c>
    </row>
    <row r="16" spans="3:15" ht="15.6" x14ac:dyDescent="0.3">
      <c r="C16" s="14">
        <v>10</v>
      </c>
      <c r="D16" s="15">
        <f>+'runoff.model'!B11</f>
        <v>3.23</v>
      </c>
      <c r="E16" s="17">
        <f>IF(wattotarea&lt;&gt;"",+'runoff.model'!K11*12/wattotarea,0)</f>
        <v>0.58290096999774421</v>
      </c>
      <c r="F16" s="17">
        <f>IF(wattotarea&lt;&gt;"",+'runoff.model'!K11,0)</f>
        <v>1.2143770208286337</v>
      </c>
      <c r="G16" s="17">
        <f>+'water.demand.model'!S11</f>
        <v>0</v>
      </c>
      <c r="H16" s="17">
        <f>+'water.demand.model'!T11</f>
        <v>0</v>
      </c>
      <c r="I16" s="17">
        <f>+'water.demand.model'!V11</f>
        <v>0</v>
      </c>
      <c r="J16" s="17">
        <f t="shared" si="0"/>
        <v>0</v>
      </c>
      <c r="K16" s="47">
        <f t="shared" si="1"/>
        <v>0</v>
      </c>
      <c r="L16" s="17">
        <f t="shared" si="4"/>
        <v>14.151439957891572</v>
      </c>
      <c r="M16" s="18">
        <f t="shared" si="5"/>
        <v>146.5846839172734</v>
      </c>
      <c r="N16" s="5">
        <f t="shared" si="2"/>
        <v>-132.43324395938183</v>
      </c>
      <c r="O16" s="5">
        <f t="shared" si="3"/>
        <v>1.2143770208286337</v>
      </c>
    </row>
    <row r="17" spans="3:15" ht="15.6" x14ac:dyDescent="0.3">
      <c r="C17" s="14">
        <v>11</v>
      </c>
      <c r="D17" s="15">
        <f>+'runoff.model'!B12</f>
        <v>3.41</v>
      </c>
      <c r="E17" s="17">
        <f>IF(wattotarea&lt;&gt;"",+'runoff.model'!K12*12/wattotarea,0)</f>
        <v>0.61538461538461542</v>
      </c>
      <c r="F17" s="17">
        <f>IF(wattotarea&lt;&gt;"",+'runoff.model'!K12,0)</f>
        <v>1.2820512820512822</v>
      </c>
      <c r="G17" s="17">
        <f>+'water.demand.model'!S12</f>
        <v>0</v>
      </c>
      <c r="H17" s="17">
        <f>+'water.demand.model'!T12</f>
        <v>0</v>
      </c>
      <c r="I17" s="17">
        <f>+'water.demand.model'!V12</f>
        <v>0</v>
      </c>
      <c r="J17" s="17">
        <f t="shared" si="0"/>
        <v>0</v>
      </c>
      <c r="K17" s="47">
        <f t="shared" si="1"/>
        <v>0</v>
      </c>
      <c r="L17" s="17">
        <f t="shared" si="4"/>
        <v>15.433491239942855</v>
      </c>
      <c r="M17" s="18">
        <f t="shared" si="5"/>
        <v>146.5846839172734</v>
      </c>
      <c r="N17" s="5">
        <f t="shared" si="2"/>
        <v>-131.15119267733053</v>
      </c>
      <c r="O17" s="5">
        <f t="shared" si="3"/>
        <v>1.2820512820512822</v>
      </c>
    </row>
    <row r="18" spans="3:15" ht="16.2" thickBot="1" x14ac:dyDescent="0.35">
      <c r="C18" s="23">
        <v>12</v>
      </c>
      <c r="D18" s="24">
        <f>+'runoff.model'!B13</f>
        <v>3.28</v>
      </c>
      <c r="E18" s="25">
        <f>IF(wattotarea&lt;&gt;"",+'runoff.model'!K13*12/wattotarea,0)</f>
        <v>0.59192420482743058</v>
      </c>
      <c r="F18" s="25">
        <f>IF(wattotarea&lt;&gt;"",+'runoff.model'!K13,0)</f>
        <v>1.2331754267238138</v>
      </c>
      <c r="G18" s="25">
        <f>+'water.demand.model'!S13</f>
        <v>0</v>
      </c>
      <c r="H18" s="25">
        <f>+'water.demand.model'!T13</f>
        <v>0</v>
      </c>
      <c r="I18" s="25">
        <f>+'water.demand.model'!V13</f>
        <v>0</v>
      </c>
      <c r="J18" s="25">
        <f t="shared" si="0"/>
        <v>0</v>
      </c>
      <c r="K18" s="48">
        <f t="shared" si="1"/>
        <v>0</v>
      </c>
      <c r="L18" s="25">
        <f t="shared" si="4"/>
        <v>16.666666666666668</v>
      </c>
      <c r="M18" s="26">
        <f t="shared" si="5"/>
        <v>146.5846839172734</v>
      </c>
      <c r="N18" s="5">
        <f t="shared" si="2"/>
        <v>-129.91801725060674</v>
      </c>
      <c r="O18" s="5">
        <f t="shared" si="3"/>
        <v>1.2331754267238138</v>
      </c>
    </row>
    <row r="19" spans="3:15" ht="15.6" x14ac:dyDescent="0.3">
      <c r="C19" s="14"/>
      <c r="D19" s="15"/>
      <c r="E19" s="15"/>
      <c r="F19" s="15"/>
      <c r="G19" s="15"/>
      <c r="H19" s="15"/>
      <c r="I19" s="15"/>
      <c r="J19" s="15"/>
      <c r="K19" s="15"/>
      <c r="L19" s="15"/>
      <c r="M19" s="16"/>
    </row>
    <row r="20" spans="3:15" ht="15.6" x14ac:dyDescent="0.3">
      <c r="C20" s="19" t="s">
        <v>901</v>
      </c>
      <c r="D20" s="20">
        <f t="shared" ref="D20:K20" si="6">SUM(D7:D18)</f>
        <v>44.33</v>
      </c>
      <c r="E20" s="20">
        <f t="shared" si="6"/>
        <v>8</v>
      </c>
      <c r="F20" s="20">
        <f t="shared" si="6"/>
        <v>16.666666666666668</v>
      </c>
      <c r="G20" s="20">
        <f t="shared" si="6"/>
        <v>17.590162070072807</v>
      </c>
      <c r="H20" s="20">
        <f t="shared" si="6"/>
        <v>146.5846839172734</v>
      </c>
      <c r="I20" s="20">
        <f t="shared" si="6"/>
        <v>0</v>
      </c>
      <c r="J20" s="20">
        <f t="shared" si="6"/>
        <v>146.5846839172734</v>
      </c>
      <c r="K20" s="20">
        <f t="shared" si="6"/>
        <v>142.29488769199332</v>
      </c>
      <c r="L20" s="21"/>
      <c r="M20" s="22"/>
      <c r="N20" s="5">
        <f>MIN(N7:N18)</f>
        <v>-136.63280783636506</v>
      </c>
    </row>
    <row r="22" spans="3:15" x14ac:dyDescent="0.3">
      <c r="C22" s="2" t="s">
        <v>906</v>
      </c>
      <c r="F22" s="5">
        <f>IF(OR(AND(F20&gt;=J20,N20&lt;0),SUM(K7:K18)&gt;0),MAX(K20,-N20,MAX(tot.demand)),IF(SUM(K7:K18)=0,MAX(J7:J18),"NA"))</f>
        <v>142.29488769199332</v>
      </c>
      <c r="G22" t="s">
        <v>988</v>
      </c>
      <c r="H22" s="4" t="s">
        <v>64</v>
      </c>
      <c r="K22" t="s">
        <v>64</v>
      </c>
    </row>
    <row r="23" spans="3:15" x14ac:dyDescent="0.3">
      <c r="F23" s="4" t="s">
        <v>64</v>
      </c>
      <c r="G23" t="s">
        <v>64</v>
      </c>
      <c r="K23" s="4" t="s">
        <v>64</v>
      </c>
    </row>
    <row r="24" spans="3:15" x14ac:dyDescent="0.3">
      <c r="C24" s="2" t="s">
        <v>908</v>
      </c>
      <c r="F24" s="4" t="s">
        <v>64</v>
      </c>
      <c r="G24" t="s">
        <v>64</v>
      </c>
    </row>
    <row r="25" spans="3:15" x14ac:dyDescent="0.3">
      <c r="F25" s="4" t="s">
        <v>64</v>
      </c>
    </row>
    <row r="26" spans="3:15" x14ac:dyDescent="0.3">
      <c r="C26" s="11" t="str">
        <f>IF(AND(wattotarea="",WatSize&lt;=""),"no watershed area data entered!","")</f>
        <v/>
      </c>
      <c r="F26" s="4" t="s">
        <v>64</v>
      </c>
      <c r="H26" s="5" t="s">
        <v>64</v>
      </c>
    </row>
    <row r="27" spans="3:15" x14ac:dyDescent="0.3">
      <c r="C27" s="11" t="str">
        <f>IF(total.acres=0,"no irrigated acres entered!","")</f>
        <v/>
      </c>
    </row>
    <row r="28" spans="3:15" x14ac:dyDescent="0.3">
      <c r="C28" t="str">
        <f>IF(F20&lt;J20,"Surface Runoff Inadequate -Reduce Demand by reducing acreage, etc.","Surface Runoff Supply Adequate")</f>
        <v>Surface Runoff Inadequate -Reduce Demand by reducing acreage, etc.</v>
      </c>
    </row>
  </sheetData>
  <mergeCells count="2">
    <mergeCell ref="G5:J5"/>
    <mergeCell ref="L5:M5"/>
  </mergeCells>
  <pageMargins left="0.7" right="0.7" top="0.75" bottom="0.75" header="0.3" footer="0.3"/>
  <pageSetup scale="78" orientation="landscape" horizontalDpi="300" verticalDpi="300" r:id="rId1"/>
  <drawing r:id="rId2"/>
  <legacyDrawing r:id="rId3"/>
  <controls>
    <mc:AlternateContent xmlns:mc="http://schemas.openxmlformats.org/markup-compatibility/2006">
      <mc:Choice Requires="x14">
        <control shapeId="47106" r:id="rId4" name="CommandButton2">
          <controlPr defaultSize="0" autoLine="0" r:id="rId5">
            <anchor moveWithCells="1">
              <from>
                <xdr:col>13</xdr:col>
                <xdr:colOff>114300</xdr:colOff>
                <xdr:row>0</xdr:row>
                <xdr:rowOff>76200</xdr:rowOff>
              </from>
              <to>
                <xdr:col>14</xdr:col>
                <xdr:colOff>449580</xdr:colOff>
                <xdr:row>2</xdr:row>
                <xdr:rowOff>121920</xdr:rowOff>
              </to>
            </anchor>
          </controlPr>
        </control>
      </mc:Choice>
      <mc:Fallback>
        <control shapeId="47106" r:id="rId4" name="CommandButton2"/>
      </mc:Fallback>
    </mc:AlternateContent>
    <mc:AlternateContent xmlns:mc="http://schemas.openxmlformats.org/markup-compatibility/2006">
      <mc:Choice Requires="x14">
        <control shapeId="47105" r:id="rId6" name="CommandButton1">
          <controlPr defaultSize="0" autoLine="0" r:id="rId7">
            <anchor moveWithCells="1">
              <from>
                <xdr:col>0</xdr:col>
                <xdr:colOff>7620</xdr:colOff>
                <xdr:row>0</xdr:row>
                <xdr:rowOff>7620</xdr:rowOff>
              </from>
              <to>
                <xdr:col>1</xdr:col>
                <xdr:colOff>228600</xdr:colOff>
                <xdr:row>2</xdr:row>
                <xdr:rowOff>22860</xdr:rowOff>
              </to>
            </anchor>
          </controlPr>
        </control>
      </mc:Choice>
      <mc:Fallback>
        <control shapeId="47105" r:id="rId6" name="CommandButton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2:J47"/>
  <sheetViews>
    <sheetView tabSelected="1" workbookViewId="0">
      <selection activeCell="I25" sqref="I25"/>
    </sheetView>
  </sheetViews>
  <sheetFormatPr defaultRowHeight="14.4" x14ac:dyDescent="0.3"/>
  <cols>
    <col min="1" max="1" width="17.44140625" bestFit="1" customWidth="1"/>
    <col min="2" max="2" width="12.44140625" customWidth="1"/>
    <col min="3" max="3" width="10.88671875" bestFit="1" customWidth="1"/>
    <col min="5" max="5" width="14.5546875" customWidth="1"/>
  </cols>
  <sheetData>
    <row r="2" spans="1:5" x14ac:dyDescent="0.3">
      <c r="A2" s="157" t="s">
        <v>1178</v>
      </c>
      <c r="B2" s="157"/>
      <c r="C2" s="114">
        <f>(B4/B16)*100</f>
        <v>11.369991885422813</v>
      </c>
      <c r="D2" t="s">
        <v>1179</v>
      </c>
    </row>
    <row r="4" spans="1:5" x14ac:dyDescent="0.3">
      <c r="A4" t="s">
        <v>1167</v>
      </c>
      <c r="B4" s="102">
        <f>'runoff.model'!K15</f>
        <v>16.666666666666668</v>
      </c>
      <c r="C4" s="102" t="s">
        <v>988</v>
      </c>
    </row>
    <row r="5" spans="1:5" x14ac:dyDescent="0.3">
      <c r="A5" s="125"/>
      <c r="B5" s="125"/>
      <c r="C5" s="125"/>
    </row>
    <row r="6" spans="1:5" x14ac:dyDescent="0.3">
      <c r="B6" s="10" t="s">
        <v>1214</v>
      </c>
      <c r="C6" s="10" t="s">
        <v>1215</v>
      </c>
      <c r="D6" s="125"/>
      <c r="E6" s="125"/>
    </row>
    <row r="7" spans="1:5" x14ac:dyDescent="0.3">
      <c r="A7" t="str">
        <f>Crop1</f>
        <v>Corn (field)</v>
      </c>
      <c r="B7" s="10">
        <f>VALUE(Acres1)</f>
        <v>100</v>
      </c>
      <c r="C7" s="10">
        <f>G25</f>
        <v>11.369991885422813</v>
      </c>
      <c r="D7" s="125">
        <f>(C7/B7)*100</f>
        <v>11.369991885422813</v>
      </c>
      <c r="E7" s="125"/>
    </row>
    <row r="8" spans="1:5" x14ac:dyDescent="0.3">
      <c r="A8" t="str">
        <f>IF(Crop2="Null"," ",Crop2)</f>
        <v xml:space="preserve"> </v>
      </c>
      <c r="B8">
        <f>IF(Crop2="Null",0,VALUE(Acres2))</f>
        <v>0</v>
      </c>
      <c r="C8" s="10">
        <f t="shared" ref="C8:C9" si="0">G26</f>
        <v>0</v>
      </c>
      <c r="D8" s="125">
        <f>IFERROR((C8/B8)*100,0)</f>
        <v>0</v>
      </c>
      <c r="E8" s="125"/>
    </row>
    <row r="9" spans="1:5" x14ac:dyDescent="0.3">
      <c r="A9" t="str">
        <f>IF(Crop3="Null"," ",Crop3)</f>
        <v xml:space="preserve"> </v>
      </c>
      <c r="B9">
        <f>IF(Crop3="Null",0,VALUE(Acres3))</f>
        <v>0</v>
      </c>
      <c r="C9" s="10">
        <f t="shared" si="0"/>
        <v>0</v>
      </c>
      <c r="D9" s="125">
        <f>IFERROR((C9/B9)*100,0)</f>
        <v>0</v>
      </c>
      <c r="E9" s="125"/>
    </row>
    <row r="10" spans="1:5" x14ac:dyDescent="0.3">
      <c r="B10">
        <f>SUM(B7:B9)</f>
        <v>100</v>
      </c>
      <c r="C10">
        <f>SUM(C7:C9)</f>
        <v>11.369991885422813</v>
      </c>
      <c r="D10">
        <f>AVERAGEIF(D7:D9,"&lt;&gt;0")</f>
        <v>11.369991885422813</v>
      </c>
      <c r="E10">
        <f>(C10/B10)*100</f>
        <v>11.369991885422813</v>
      </c>
    </row>
    <row r="12" spans="1:5" x14ac:dyDescent="0.3">
      <c r="A12" s="158" t="s">
        <v>1168</v>
      </c>
      <c r="B12" s="159"/>
      <c r="C12" s="159"/>
    </row>
    <row r="13" spans="1:5" x14ac:dyDescent="0.3">
      <c r="A13" s="93" t="s">
        <v>1169</v>
      </c>
      <c r="B13" s="93">
        <f>Acres1*('water.demand.model'!J15/12)</f>
        <v>146.58468391727342</v>
      </c>
      <c r="C13" s="93" t="s">
        <v>988</v>
      </c>
    </row>
    <row r="14" spans="1:5" x14ac:dyDescent="0.3">
      <c r="A14" s="93" t="s">
        <v>1170</v>
      </c>
      <c r="B14" s="93">
        <f>Acres2*('water.demand.model'!N15/12)</f>
        <v>0</v>
      </c>
      <c r="C14" s="93" t="s">
        <v>988</v>
      </c>
    </row>
    <row r="15" spans="1:5" x14ac:dyDescent="0.3">
      <c r="A15" s="93" t="s">
        <v>1171</v>
      </c>
      <c r="B15" s="93">
        <f>Acres3*('water.demand.model'!R15/12)</f>
        <v>0</v>
      </c>
      <c r="C15" s="93" t="s">
        <v>988</v>
      </c>
    </row>
    <row r="16" spans="1:5" x14ac:dyDescent="0.3">
      <c r="A16" s="98" t="s">
        <v>1164</v>
      </c>
      <c r="B16" s="103">
        <f>SUM(B13:B15)</f>
        <v>146.58468391727342</v>
      </c>
      <c r="C16" s="103" t="s">
        <v>988</v>
      </c>
    </row>
    <row r="17" spans="1:10" x14ac:dyDescent="0.3">
      <c r="A17" s="9"/>
      <c r="B17" s="9"/>
    </row>
    <row r="18" spans="1:10" x14ac:dyDescent="0.3">
      <c r="A18" s="156" t="s">
        <v>1174</v>
      </c>
      <c r="B18" s="156"/>
      <c r="C18" t="s">
        <v>1176</v>
      </c>
    </row>
    <row r="19" spans="1:10" x14ac:dyDescent="0.3">
      <c r="A19" s="93" t="s">
        <v>1169</v>
      </c>
      <c r="B19" s="94">
        <f>B4/('water.demand.model'!J15/12)</f>
        <v>11.369991885422813</v>
      </c>
    </row>
    <row r="20" spans="1:10" x14ac:dyDescent="0.3">
      <c r="A20" s="93" t="s">
        <v>1170</v>
      </c>
      <c r="B20" s="94">
        <f>IFERROR(B4/('water.demand.model'!N15/12),0)</f>
        <v>0</v>
      </c>
    </row>
    <row r="21" spans="1:10" x14ac:dyDescent="0.3">
      <c r="A21" s="93" t="s">
        <v>1171</v>
      </c>
      <c r="B21" s="94">
        <f>IFERROR(B4/('water.demand.model'!R15/12),0)</f>
        <v>0</v>
      </c>
    </row>
    <row r="22" spans="1:10" x14ac:dyDescent="0.3">
      <c r="A22" s="9"/>
      <c r="B22" s="9"/>
    </row>
    <row r="23" spans="1:10" x14ac:dyDescent="0.3">
      <c r="A23" s="155" t="s">
        <v>1175</v>
      </c>
      <c r="B23" s="155"/>
      <c r="C23" s="155"/>
      <c r="D23" s="155"/>
      <c r="E23" s="155"/>
      <c r="F23" s="155"/>
      <c r="G23" t="s">
        <v>1177</v>
      </c>
    </row>
    <row r="24" spans="1:10" ht="30" customHeight="1" x14ac:dyDescent="0.3">
      <c r="A24" s="93"/>
      <c r="B24" s="93" t="s">
        <v>1160</v>
      </c>
      <c r="C24" s="93" t="s">
        <v>1165</v>
      </c>
      <c r="D24" t="s">
        <v>1203</v>
      </c>
      <c r="E24" s="93" t="s">
        <v>1172</v>
      </c>
      <c r="F24" s="100" t="s">
        <v>1173</v>
      </c>
      <c r="G24" s="93" t="s">
        <v>705</v>
      </c>
    </row>
    <row r="25" spans="1:10" x14ac:dyDescent="0.3">
      <c r="A25" s="93" t="s">
        <v>1169</v>
      </c>
      <c r="B25" s="93">
        <f>'water.demand.model'!J15/12</f>
        <v>1.4658468391727342</v>
      </c>
      <c r="C25" s="93">
        <f>B25/$B$28</f>
        <v>1</v>
      </c>
      <c r="D25" s="93">
        <f>1-C25</f>
        <v>0</v>
      </c>
      <c r="E25" s="93" t="e">
        <f>IF(C25&gt;0,(1-C25)/SUMIF(D$25:D$27,"&lt;&gt;0"),0)</f>
        <v>#DIV/0!</v>
      </c>
      <c r="F25" s="93">
        <f>B4*VALUE(Acres1)/total.acres</f>
        <v>16.666666666666668</v>
      </c>
      <c r="G25" s="94">
        <f>F25/B25</f>
        <v>11.369991885422813</v>
      </c>
      <c r="I25">
        <f>B4*VALUE(Acres1)/total.acres</f>
        <v>16.666666666666668</v>
      </c>
      <c r="J25">
        <f>I25/B25</f>
        <v>11.369991885422813</v>
      </c>
    </row>
    <row r="26" spans="1:10" x14ac:dyDescent="0.3">
      <c r="A26" s="93" t="s">
        <v>1170</v>
      </c>
      <c r="B26" s="93">
        <f>'water.demand.model'!N15/12</f>
        <v>0</v>
      </c>
      <c r="C26" s="93">
        <f t="shared" ref="C26:C27" si="1">B26/$B$28</f>
        <v>0</v>
      </c>
      <c r="D26" s="93">
        <f>IF(C26&gt;0,(1-C26),0)</f>
        <v>0</v>
      </c>
      <c r="E26" s="93">
        <f t="shared" ref="E26:E27" si="2">IF(C26&gt;0,(1-C26)/SUMIF(D$25:D$27,"&lt;&gt;0"),0)</f>
        <v>0</v>
      </c>
      <c r="F26" s="93">
        <f>B4*VALUE(Acres2)/total.acres</f>
        <v>0</v>
      </c>
      <c r="G26" s="94">
        <f>IF(B26&gt;0,F26/B26,0)</f>
        <v>0</v>
      </c>
      <c r="I26">
        <f>B4*VALUE(Acres2)/total.acres</f>
        <v>0</v>
      </c>
      <c r="J26" t="e">
        <f>I26/B26</f>
        <v>#DIV/0!</v>
      </c>
    </row>
    <row r="27" spans="1:10" x14ac:dyDescent="0.3">
      <c r="A27" s="93" t="s">
        <v>1171</v>
      </c>
      <c r="B27" s="93">
        <f>'water.demand.model'!R15/12</f>
        <v>0</v>
      </c>
      <c r="C27" s="93">
        <f t="shared" si="1"/>
        <v>0</v>
      </c>
      <c r="D27" s="93">
        <f>IF(C27&gt;0,(1-C27),0)</f>
        <v>0</v>
      </c>
      <c r="E27" s="93">
        <f t="shared" si="2"/>
        <v>0</v>
      </c>
      <c r="F27" s="93">
        <f>B4*VALUE(Acres3)/total.acres</f>
        <v>0</v>
      </c>
      <c r="G27" s="94">
        <f>IF(B27&gt;0,F27/B27,0)</f>
        <v>0</v>
      </c>
    </row>
    <row r="28" spans="1:10" x14ac:dyDescent="0.3">
      <c r="A28" s="93" t="s">
        <v>1164</v>
      </c>
      <c r="B28" s="93">
        <f>SUM(B25:B27)</f>
        <v>1.4658468391727342</v>
      </c>
      <c r="C28" s="93">
        <f t="shared" ref="C28:D28" si="3">SUM(C25:C27)</f>
        <v>1</v>
      </c>
      <c r="D28" s="93">
        <f t="shared" si="3"/>
        <v>0</v>
      </c>
      <c r="E28" s="93" t="e">
        <f>SUM(E25:E27)</f>
        <v>#DIV/0!</v>
      </c>
      <c r="F28" s="93">
        <f>SUM(F25:F27)</f>
        <v>16.666666666666668</v>
      </c>
      <c r="G28" s="94">
        <f>SUM(G25:G27)</f>
        <v>11.369991885422813</v>
      </c>
    </row>
    <row r="32" spans="1:10" x14ac:dyDescent="0.3">
      <c r="A32" t="s">
        <v>1195</v>
      </c>
    </row>
    <row r="33" spans="1:9" x14ac:dyDescent="0.3">
      <c r="A33" t="s">
        <v>1196</v>
      </c>
    </row>
    <row r="34" spans="1:9" x14ac:dyDescent="0.3">
      <c r="A34" t="s">
        <v>1197</v>
      </c>
    </row>
    <row r="36" spans="1:9" x14ac:dyDescent="0.3">
      <c r="A36" t="s">
        <v>1204</v>
      </c>
    </row>
    <row r="37" spans="1:9" x14ac:dyDescent="0.3">
      <c r="A37" s="160" t="s">
        <v>1219</v>
      </c>
      <c r="B37" s="161"/>
      <c r="C37" s="161"/>
      <c r="D37" s="161"/>
      <c r="E37" s="161"/>
      <c r="F37" s="161"/>
      <c r="G37" s="161"/>
      <c r="H37" s="161"/>
      <c r="I37" s="161"/>
    </row>
    <row r="38" spans="1:9" x14ac:dyDescent="0.3">
      <c r="A38" s="161"/>
      <c r="B38" s="161"/>
      <c r="C38" s="161"/>
      <c r="D38" s="161"/>
      <c r="E38" s="161"/>
      <c r="F38" s="161"/>
      <c r="G38" s="161"/>
      <c r="H38" s="161"/>
      <c r="I38" s="161"/>
    </row>
    <row r="39" spans="1:9" x14ac:dyDescent="0.3">
      <c r="A39" s="161"/>
      <c r="B39" s="161"/>
      <c r="C39" s="161"/>
      <c r="D39" s="161"/>
      <c r="E39" s="161"/>
      <c r="F39" s="161"/>
      <c r="G39" s="161"/>
      <c r="H39" s="161"/>
      <c r="I39" s="161"/>
    </row>
    <row r="40" spans="1:9" x14ac:dyDescent="0.3">
      <c r="A40" s="161"/>
      <c r="B40" s="161"/>
      <c r="C40" s="161"/>
      <c r="D40" s="161"/>
      <c r="E40" s="161"/>
      <c r="F40" s="161"/>
      <c r="G40" s="161"/>
      <c r="H40" s="161"/>
      <c r="I40" s="161"/>
    </row>
    <row r="41" spans="1:9" x14ac:dyDescent="0.3">
      <c r="A41" s="161"/>
      <c r="B41" s="161"/>
      <c r="C41" s="161"/>
      <c r="D41" s="161"/>
      <c r="E41" s="161"/>
      <c r="F41" s="161"/>
      <c r="G41" s="161"/>
      <c r="H41" s="161"/>
      <c r="I41" s="161"/>
    </row>
    <row r="42" spans="1:9" x14ac:dyDescent="0.3">
      <c r="A42" s="161"/>
      <c r="B42" s="161"/>
      <c r="C42" s="161"/>
      <c r="D42" s="161"/>
      <c r="E42" s="161"/>
      <c r="F42" s="161"/>
      <c r="G42" s="161"/>
      <c r="H42" s="161"/>
      <c r="I42" s="161"/>
    </row>
    <row r="43" spans="1:9" x14ac:dyDescent="0.3">
      <c r="A43" s="161"/>
      <c r="B43" s="161"/>
      <c r="C43" s="161"/>
      <c r="D43" s="161"/>
      <c r="E43" s="161"/>
      <c r="F43" s="161"/>
      <c r="G43" s="161"/>
      <c r="H43" s="161"/>
      <c r="I43" s="161"/>
    </row>
    <row r="44" spans="1:9" x14ac:dyDescent="0.3">
      <c r="A44" s="161"/>
      <c r="B44" s="161"/>
      <c r="C44" s="161"/>
      <c r="D44" s="161"/>
      <c r="E44" s="161"/>
      <c r="F44" s="161"/>
      <c r="G44" s="161"/>
      <c r="H44" s="161"/>
      <c r="I44" s="161"/>
    </row>
    <row r="45" spans="1:9" x14ac:dyDescent="0.3">
      <c r="A45" s="161"/>
      <c r="B45" s="161"/>
      <c r="C45" s="161"/>
      <c r="D45" s="161"/>
      <c r="E45" s="161"/>
      <c r="F45" s="161"/>
      <c r="G45" s="161"/>
      <c r="H45" s="161"/>
      <c r="I45" s="161"/>
    </row>
    <row r="47" spans="1:9" x14ac:dyDescent="0.3">
      <c r="A47" t="s">
        <v>1211</v>
      </c>
    </row>
  </sheetData>
  <sheetProtection algorithmName="SHA-512" hashValue="4zkF+zuJePO4Zb/FHCqw2mfrDzrKghZIh1IIAIUibSrfgEY3hmse1mJwPPKlvTX+3Cs8CYPAW45ozHJKM1pCDA==" saltValue="xOHtTXxhSbmXGd5auP+3ig==" spinCount="100000" sheet="1" objects="1" scenarios="1"/>
  <mergeCells count="5">
    <mergeCell ref="A23:F23"/>
    <mergeCell ref="A18:B18"/>
    <mergeCell ref="A2:B2"/>
    <mergeCell ref="A12:C12"/>
    <mergeCell ref="A37: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2:P62"/>
  <sheetViews>
    <sheetView topLeftCell="A19" workbookViewId="0">
      <selection activeCell="N30" sqref="N30"/>
    </sheetView>
  </sheetViews>
  <sheetFormatPr defaultRowHeight="14.4" x14ac:dyDescent="0.3"/>
  <cols>
    <col min="1" max="1" width="16" customWidth="1"/>
    <col min="3" max="3" width="10.33203125" customWidth="1"/>
  </cols>
  <sheetData>
    <row r="2" spans="1:5" x14ac:dyDescent="0.3">
      <c r="B2" s="157" t="s">
        <v>1181</v>
      </c>
      <c r="C2" s="157"/>
      <c r="D2" s="115">
        <f>(ROUNDDOWN(E10,1))</f>
        <v>10.4</v>
      </c>
      <c r="E2" t="s">
        <v>1182</v>
      </c>
    </row>
    <row r="4" spans="1:5" x14ac:dyDescent="0.3">
      <c r="B4" s="164" t="s">
        <v>1180</v>
      </c>
      <c r="C4" s="164"/>
      <c r="D4" s="102">
        <f>AgWRAP_RESULTS!C11</f>
        <v>11</v>
      </c>
      <c r="E4" s="102" t="s">
        <v>988</v>
      </c>
    </row>
    <row r="5" spans="1:5" x14ac:dyDescent="0.3">
      <c r="B5" s="10"/>
      <c r="C5" s="10"/>
      <c r="D5" s="125"/>
      <c r="E5" s="125"/>
    </row>
    <row r="6" spans="1:5" x14ac:dyDescent="0.3">
      <c r="B6" s="10" t="s">
        <v>1214</v>
      </c>
      <c r="C6" s="10" t="s">
        <v>1215</v>
      </c>
      <c r="D6" s="125"/>
      <c r="E6" s="125"/>
    </row>
    <row r="7" spans="1:5" x14ac:dyDescent="0.3">
      <c r="A7" t="str">
        <f>Crop1</f>
        <v>Corn (field)</v>
      </c>
      <c r="B7" s="10">
        <f>VALUE(Acres1)</f>
        <v>100</v>
      </c>
      <c r="C7" s="10">
        <f>H55</f>
        <v>10.430691540672182</v>
      </c>
      <c r="D7" s="125">
        <f>(C7/B7)*100</f>
        <v>10.430691540672182</v>
      </c>
      <c r="E7" s="125"/>
    </row>
    <row r="8" spans="1:5" x14ac:dyDescent="0.3">
      <c r="A8" t="str">
        <f>IF(Crop2="Null"," ",Crop2)</f>
        <v xml:space="preserve"> </v>
      </c>
      <c r="B8">
        <f>IF(Crop2="Null",0,VALUE(Acres2))</f>
        <v>0</v>
      </c>
      <c r="C8" s="10">
        <f t="shared" ref="C8:C9" si="0">H56</f>
        <v>0</v>
      </c>
      <c r="D8" s="125">
        <f>IFERROR((C8/B8)*100,0)</f>
        <v>0</v>
      </c>
      <c r="E8" s="125"/>
    </row>
    <row r="9" spans="1:5" x14ac:dyDescent="0.3">
      <c r="A9" t="str">
        <f>IF(Crop3="Null"," ",Crop3)</f>
        <v xml:space="preserve"> </v>
      </c>
      <c r="B9">
        <f>IF(Crop3="Null",0,VALUE(Acres3))</f>
        <v>0</v>
      </c>
      <c r="C9" s="10">
        <f t="shared" si="0"/>
        <v>0</v>
      </c>
      <c r="D9" s="125">
        <f>IFERROR((C9/B9)*100,0)</f>
        <v>0</v>
      </c>
      <c r="E9" s="125"/>
    </row>
    <row r="10" spans="1:5" x14ac:dyDescent="0.3">
      <c r="B10">
        <f>SUM(B7:B9)</f>
        <v>100</v>
      </c>
      <c r="C10">
        <f>SUM(C7:C9)</f>
        <v>10.430691540672182</v>
      </c>
      <c r="D10">
        <f>AVERAGEIF(D7:D9,"&lt;&gt;0")</f>
        <v>10.430691540672182</v>
      </c>
      <c r="E10">
        <f>(C10/B10)*100</f>
        <v>10.430691540672182</v>
      </c>
    </row>
    <row r="12" spans="1:5" x14ac:dyDescent="0.3">
      <c r="A12" s="156" t="s">
        <v>1159</v>
      </c>
      <c r="B12" s="156"/>
      <c r="C12" s="156"/>
      <c r="D12" s="156"/>
    </row>
    <row r="13" spans="1:5" x14ac:dyDescent="0.3">
      <c r="A13" s="93" t="s">
        <v>396</v>
      </c>
      <c r="B13" s="93" t="s">
        <v>702</v>
      </c>
      <c r="C13" s="93" t="s">
        <v>749</v>
      </c>
      <c r="D13" s="93" t="s">
        <v>703</v>
      </c>
      <c r="E13" s="95" t="s">
        <v>1193</v>
      </c>
    </row>
    <row r="14" spans="1:5" x14ac:dyDescent="0.3">
      <c r="A14" s="93">
        <v>1</v>
      </c>
      <c r="B14" s="93">
        <f>IF('water.demand.model'!J2&gt;0,'runoff.model'!K2,0)</f>
        <v>0</v>
      </c>
      <c r="C14" s="93">
        <f>IF('water.demand.model'!N2&gt;0,'runoff.model'!K2,0)</f>
        <v>0</v>
      </c>
      <c r="D14" s="93">
        <f>IF('water.demand.model'!R2&gt;0,'runoff.model'!K2,0)</f>
        <v>0</v>
      </c>
      <c r="E14">
        <f>MAX(B14:D14)</f>
        <v>0</v>
      </c>
    </row>
    <row r="15" spans="1:5" x14ac:dyDescent="0.3">
      <c r="A15" s="93">
        <v>2</v>
      </c>
      <c r="B15" s="93">
        <f>IF('water.demand.model'!J3&gt;0,'runoff.model'!K3,0)</f>
        <v>0</v>
      </c>
      <c r="C15" s="93">
        <f>IF('water.demand.model'!N3&gt;0,'runoff.model'!K3,0)</f>
        <v>0</v>
      </c>
      <c r="D15" s="93">
        <f>IF('water.demand.model'!R3&gt;0,'runoff.model'!K3,0)</f>
        <v>0</v>
      </c>
      <c r="E15">
        <f t="shared" ref="E15:E25" si="1">MAX(B15:D15)</f>
        <v>0</v>
      </c>
    </row>
    <row r="16" spans="1:5" x14ac:dyDescent="0.3">
      <c r="A16" s="93">
        <v>3</v>
      </c>
      <c r="B16" s="93">
        <f>IF('water.demand.model'!J4&gt;0,'runoff.model'!K4,0)</f>
        <v>0</v>
      </c>
      <c r="C16" s="93">
        <f>IF('water.demand.model'!N4&gt;0,'runoff.model'!K4,0)</f>
        <v>0</v>
      </c>
      <c r="D16" s="93">
        <f>IF('water.demand.model'!R4&gt;0,'runoff.model'!K4,0)</f>
        <v>0</v>
      </c>
      <c r="E16">
        <f t="shared" si="1"/>
        <v>0</v>
      </c>
    </row>
    <row r="17" spans="1:14" x14ac:dyDescent="0.3">
      <c r="A17" s="93">
        <v>4</v>
      </c>
      <c r="B17" s="93">
        <f>IF('water.demand.model'!J5&gt;0,'runoff.model'!K5,0)</f>
        <v>0</v>
      </c>
      <c r="C17" s="93">
        <f>IF('water.demand.model'!N5&gt;0,'runoff.model'!K5,0)</f>
        <v>0</v>
      </c>
      <c r="D17" s="93">
        <f>IF('water.demand.model'!R5&gt;0,'runoff.model'!K5,0)</f>
        <v>0</v>
      </c>
      <c r="E17">
        <f t="shared" si="1"/>
        <v>0</v>
      </c>
    </row>
    <row r="18" spans="1:14" x14ac:dyDescent="0.3">
      <c r="A18" s="93">
        <v>5</v>
      </c>
      <c r="B18" s="93">
        <f>IF('water.demand.model'!J6&gt;0,'runoff.model'!K6,0)</f>
        <v>1.2068576584705617</v>
      </c>
      <c r="C18" s="93">
        <f>IF('water.demand.model'!N6&gt;0,'runoff.model'!K6,0)</f>
        <v>0</v>
      </c>
      <c r="D18" s="93">
        <f>IF('water.demand.model'!R6&gt;0,'runoff.model'!K6,0)</f>
        <v>0</v>
      </c>
      <c r="E18">
        <f t="shared" si="1"/>
        <v>1.2068576584705617</v>
      </c>
    </row>
    <row r="19" spans="1:14" x14ac:dyDescent="0.3">
      <c r="A19" s="93">
        <v>6</v>
      </c>
      <c r="B19" s="93">
        <f>IF('water.demand.model'!J7&gt;0,'runoff.model'!K7,0)</f>
        <v>1.5565080081209113</v>
      </c>
      <c r="C19" s="93">
        <f>IF('water.demand.model'!N7&gt;0,'runoff.model'!K7,0)</f>
        <v>0</v>
      </c>
      <c r="D19" s="93">
        <f>IF('water.demand.model'!R7&gt;0,'runoff.model'!K7,0)</f>
        <v>0</v>
      </c>
      <c r="E19">
        <f t="shared" si="1"/>
        <v>1.5565080081209113</v>
      </c>
    </row>
    <row r="20" spans="1:14" x14ac:dyDescent="0.3">
      <c r="A20" s="93">
        <v>7</v>
      </c>
      <c r="B20" s="93">
        <f>IF('water.demand.model'!J8&gt;0,'runoff.model'!K8,0)</f>
        <v>1.5264305586886231</v>
      </c>
      <c r="C20" s="93">
        <f>IF('water.demand.model'!N8&gt;0,'runoff.model'!K8,0)</f>
        <v>0</v>
      </c>
      <c r="D20" s="93">
        <f>IF('water.demand.model'!R8&gt;0,'runoff.model'!K8,0)</f>
        <v>0</v>
      </c>
      <c r="E20">
        <f t="shared" si="1"/>
        <v>1.5264305586886231</v>
      </c>
    </row>
    <row r="21" spans="1:14" x14ac:dyDescent="0.3">
      <c r="A21" s="93">
        <v>8</v>
      </c>
      <c r="B21" s="93">
        <f>IF('water.demand.model'!J9&gt;0,'runoff.model'!K9,0)</f>
        <v>0</v>
      </c>
      <c r="C21" s="93">
        <f>IF('water.demand.model'!N9&gt;0,'runoff.model'!K9,0)</f>
        <v>0</v>
      </c>
      <c r="D21" s="93">
        <f>IF('water.demand.model'!R9&gt;0,'runoff.model'!K9,0)</f>
        <v>0</v>
      </c>
      <c r="E21">
        <f t="shared" si="1"/>
        <v>0</v>
      </c>
    </row>
    <row r="22" spans="1:14" x14ac:dyDescent="0.3">
      <c r="A22" s="93">
        <v>9</v>
      </c>
      <c r="B22" s="93">
        <f>IF('water.demand.model'!J10&gt;0,'runoff.model'!K10,0)</f>
        <v>0</v>
      </c>
      <c r="C22" s="93">
        <f>IF('water.demand.model'!N10&gt;0,'runoff.model'!K10,0)</f>
        <v>0</v>
      </c>
      <c r="D22" s="93">
        <f>IF('water.demand.model'!R10&gt;0,'runoff.model'!K10,0)</f>
        <v>0</v>
      </c>
      <c r="E22">
        <f t="shared" si="1"/>
        <v>0</v>
      </c>
    </row>
    <row r="23" spans="1:14" x14ac:dyDescent="0.3">
      <c r="A23" s="93">
        <v>10</v>
      </c>
      <c r="B23" s="93">
        <f>IF('water.demand.model'!J11&gt;0,'runoff.model'!K11,0)</f>
        <v>0</v>
      </c>
      <c r="C23" s="93">
        <f>IF('water.demand.model'!N11&gt;0,'runoff.model'!K11,0)</f>
        <v>0</v>
      </c>
      <c r="D23" s="93">
        <f>IF('water.demand.model'!R11&gt;0,'runoff.model'!K11,0)</f>
        <v>0</v>
      </c>
      <c r="E23">
        <f t="shared" si="1"/>
        <v>0</v>
      </c>
    </row>
    <row r="24" spans="1:14" x14ac:dyDescent="0.3">
      <c r="A24" s="93">
        <v>11</v>
      </c>
      <c r="B24" s="93">
        <f>IF('water.demand.model'!J12&gt;0,'runoff.model'!K12,0)</f>
        <v>0</v>
      </c>
      <c r="C24" s="93">
        <f>IF('water.demand.model'!N12&gt;0,'runoff.model'!K12,0)</f>
        <v>0</v>
      </c>
      <c r="D24" s="93">
        <f>IF('water.demand.model'!R12&gt;0,'runoff.model'!K12,0)</f>
        <v>0</v>
      </c>
      <c r="E24">
        <f t="shared" si="1"/>
        <v>0</v>
      </c>
    </row>
    <row r="25" spans="1:14" x14ac:dyDescent="0.3">
      <c r="A25" s="93">
        <v>12</v>
      </c>
      <c r="B25" s="93">
        <f>IF('water.demand.model'!J13&gt;0,'runoff.model'!K13,0)</f>
        <v>0</v>
      </c>
      <c r="C25" s="93">
        <f>IF('water.demand.model'!N13&gt;0,'runoff.model'!K13,0)</f>
        <v>0</v>
      </c>
      <c r="D25" s="93">
        <f>IF('water.demand.model'!R13&gt;0,'runoff.model'!K13,0)</f>
        <v>0</v>
      </c>
      <c r="E25">
        <f t="shared" si="1"/>
        <v>0</v>
      </c>
      <c r="F25" s="101" t="s">
        <v>1206</v>
      </c>
    </row>
    <row r="26" spans="1:14" x14ac:dyDescent="0.3">
      <c r="A26" s="96" t="s">
        <v>1164</v>
      </c>
      <c r="B26" s="94">
        <f>SUM(B14:B25)</f>
        <v>4.2897962252800959</v>
      </c>
      <c r="C26" s="94">
        <f t="shared" ref="C26:D26" si="2">SUM(C14:C25)</f>
        <v>0</v>
      </c>
      <c r="D26" s="94">
        <f t="shared" si="2"/>
        <v>0</v>
      </c>
      <c r="E26" s="126">
        <f>SUM(E14:E25)</f>
        <v>4.2897962252800959</v>
      </c>
      <c r="F26" s="94">
        <f>SUM(E14:E25)</f>
        <v>4.2897962252800959</v>
      </c>
    </row>
    <row r="28" spans="1:14" x14ac:dyDescent="0.3">
      <c r="A28" s="156" t="s">
        <v>1160</v>
      </c>
      <c r="B28" s="156"/>
      <c r="C28" s="156"/>
      <c r="D28" s="156"/>
      <c r="H28" s="156" t="s">
        <v>1216</v>
      </c>
      <c r="I28" s="156"/>
      <c r="J28" s="156"/>
      <c r="K28" s="156"/>
    </row>
    <row r="29" spans="1:14" x14ac:dyDescent="0.3">
      <c r="A29" s="93"/>
      <c r="B29" s="93" t="s">
        <v>702</v>
      </c>
      <c r="C29" s="93" t="s">
        <v>749</v>
      </c>
      <c r="D29" s="93" t="s">
        <v>703</v>
      </c>
      <c r="E29" s="95" t="s">
        <v>1163</v>
      </c>
      <c r="H29" s="93"/>
      <c r="I29" s="93" t="s">
        <v>702</v>
      </c>
      <c r="J29" s="93" t="s">
        <v>749</v>
      </c>
      <c r="K29" s="93" t="s">
        <v>703</v>
      </c>
      <c r="L29" s="130" t="s">
        <v>1162</v>
      </c>
      <c r="M29" s="130" t="s">
        <v>1217</v>
      </c>
      <c r="N29" s="130" t="s">
        <v>1218</v>
      </c>
    </row>
    <row r="30" spans="1:14" x14ac:dyDescent="0.3">
      <c r="A30" s="93">
        <v>1</v>
      </c>
      <c r="B30" s="93">
        <f>'water.demand.model'!J2/12</f>
        <v>0</v>
      </c>
      <c r="C30" s="93">
        <f>'water.demand.model'!N2/12</f>
        <v>0</v>
      </c>
      <c r="D30" s="93">
        <f>'water.demand.model'!R2/12</f>
        <v>0</v>
      </c>
      <c r="E30">
        <f>IFERROR(AVERAGEIF(B30:D30,"&lt;&gt;0"),0)</f>
        <v>0</v>
      </c>
      <c r="H30" s="93">
        <v>1</v>
      </c>
      <c r="I30" s="93">
        <f>('water.demand.model'!J2*WSCalcs!$G$25)/WSCalcs!$G$28</f>
        <v>0</v>
      </c>
      <c r="J30" s="93">
        <f>('water.demand.model'!N2*WSCalcs!$G$26)/WSCalcs!$G$28</f>
        <v>0</v>
      </c>
      <c r="K30" s="93">
        <f>('water.demand.model'!R2*WSCalcs!$G$27)/WSCalcs!$G$28</f>
        <v>0</v>
      </c>
      <c r="L30">
        <f>SUM(I30:K30)</f>
        <v>0</v>
      </c>
      <c r="M30">
        <f>L30/12*WSCalcs!$G$28</f>
        <v>0</v>
      </c>
      <c r="N30">
        <f>ABS(MIN(0,E14-M30))</f>
        <v>0</v>
      </c>
    </row>
    <row r="31" spans="1:14" x14ac:dyDescent="0.3">
      <c r="A31" s="93">
        <v>2</v>
      </c>
      <c r="B31" s="93">
        <f>'water.demand.model'!J3/12</f>
        <v>0</v>
      </c>
      <c r="C31" s="93">
        <f>'water.demand.model'!N3/12</f>
        <v>0</v>
      </c>
      <c r="D31" s="93">
        <f>'water.demand.model'!R3/12</f>
        <v>0</v>
      </c>
      <c r="E31">
        <f t="shared" ref="E31:E41" si="3">IFERROR(AVERAGEIF(B31:D31,"&lt;&gt;0"),0)</f>
        <v>0</v>
      </c>
      <c r="H31" s="93">
        <v>2</v>
      </c>
      <c r="I31" s="93">
        <f>('water.demand.model'!J3*WSCalcs!$G$25)/WSCalcs!$G$28</f>
        <v>0</v>
      </c>
      <c r="J31" s="93">
        <f>('water.demand.model'!N3*WSCalcs!$G$26)/WSCalcs!$G$28</f>
        <v>0</v>
      </c>
      <c r="K31" s="93">
        <f>('water.demand.model'!R3*WSCalcs!$G$27)/WSCalcs!$G$28</f>
        <v>0</v>
      </c>
      <c r="L31">
        <f t="shared" ref="L31:L41" si="4">SUM(I31:K31)</f>
        <v>0</v>
      </c>
      <c r="M31">
        <f>L31/12*WSCalcs!$G$28</f>
        <v>0</v>
      </c>
      <c r="N31">
        <f t="shared" ref="N31:N41" si="5">ABS(MIN(0,E15-M31))</f>
        <v>0</v>
      </c>
    </row>
    <row r="32" spans="1:14" x14ac:dyDescent="0.3">
      <c r="A32" s="93">
        <v>3</v>
      </c>
      <c r="B32" s="93">
        <f>'water.demand.model'!J4/12</f>
        <v>0</v>
      </c>
      <c r="C32" s="93">
        <f>'water.demand.model'!N4/12</f>
        <v>0</v>
      </c>
      <c r="D32" s="93">
        <f>'water.demand.model'!R4/12</f>
        <v>0</v>
      </c>
      <c r="E32">
        <f t="shared" si="3"/>
        <v>0</v>
      </c>
      <c r="H32" s="93">
        <v>3</v>
      </c>
      <c r="I32" s="93">
        <f>('water.demand.model'!J4*WSCalcs!$G$25)/WSCalcs!$G$28</f>
        <v>0</v>
      </c>
      <c r="J32" s="93">
        <f>('water.demand.model'!N4*WSCalcs!$G$26)/WSCalcs!$G$28</f>
        <v>0</v>
      </c>
      <c r="K32" s="93">
        <f>('water.demand.model'!R4*WSCalcs!$G$27)/WSCalcs!$G$28</f>
        <v>0</v>
      </c>
      <c r="L32">
        <f t="shared" si="4"/>
        <v>0</v>
      </c>
      <c r="M32">
        <f>L32/12*WSCalcs!$G$28</f>
        <v>0</v>
      </c>
      <c r="N32">
        <f t="shared" si="5"/>
        <v>0</v>
      </c>
    </row>
    <row r="33" spans="1:16" x14ac:dyDescent="0.3">
      <c r="A33" s="93">
        <v>4</v>
      </c>
      <c r="B33" s="93">
        <f>'water.demand.model'!J5/12</f>
        <v>0</v>
      </c>
      <c r="C33" s="93">
        <f>'water.demand.model'!N5/12</f>
        <v>0</v>
      </c>
      <c r="D33" s="93">
        <f>'water.demand.model'!R5/12</f>
        <v>0</v>
      </c>
      <c r="E33">
        <f t="shared" si="3"/>
        <v>0</v>
      </c>
      <c r="H33" s="93">
        <v>4</v>
      </c>
      <c r="I33" s="93">
        <f>('water.demand.model'!J5*WSCalcs!$G$25)/WSCalcs!$G$28</f>
        <v>0</v>
      </c>
      <c r="J33" s="93">
        <f>('water.demand.model'!N5*WSCalcs!$G$26)/WSCalcs!$G$28</f>
        <v>0</v>
      </c>
      <c r="K33" s="93">
        <f>('water.demand.model'!R5*WSCalcs!$G$27)/WSCalcs!$G$28</f>
        <v>0</v>
      </c>
      <c r="L33">
        <f t="shared" si="4"/>
        <v>0</v>
      </c>
      <c r="M33">
        <f>L33/12*WSCalcs!$G$28</f>
        <v>0</v>
      </c>
      <c r="N33">
        <f t="shared" si="5"/>
        <v>0</v>
      </c>
    </row>
    <row r="34" spans="1:16" x14ac:dyDescent="0.3">
      <c r="A34" s="93">
        <v>5</v>
      </c>
      <c r="B34" s="93">
        <f>'water.demand.model'!J6/12</f>
        <v>0.3969278257042676</v>
      </c>
      <c r="C34" s="93">
        <f>'water.demand.model'!N6/12</f>
        <v>0</v>
      </c>
      <c r="D34" s="93">
        <f>'water.demand.model'!R6/12</f>
        <v>0</v>
      </c>
      <c r="E34">
        <f t="shared" si="3"/>
        <v>0.3969278257042676</v>
      </c>
      <c r="H34" s="93">
        <v>5</v>
      </c>
      <c r="I34" s="93">
        <f>('water.demand.model'!J6*WSCalcs!$G$25)/WSCalcs!$G$28</f>
        <v>4.763133908451211</v>
      </c>
      <c r="J34" s="93">
        <f>('water.demand.model'!N6*WSCalcs!$G$26)/WSCalcs!$G$28</f>
        <v>0</v>
      </c>
      <c r="K34" s="93">
        <f>('water.demand.model'!R6*WSCalcs!$G$27)/WSCalcs!$G$28</f>
        <v>0</v>
      </c>
      <c r="L34">
        <f t="shared" si="4"/>
        <v>4.763133908451211</v>
      </c>
      <c r="M34">
        <f>L34/12*WSCalcs!$G$28</f>
        <v>4.5130661573560431</v>
      </c>
      <c r="N34">
        <f t="shared" si="5"/>
        <v>3.3062084988854812</v>
      </c>
    </row>
    <row r="35" spans="1:16" x14ac:dyDescent="0.3">
      <c r="A35" s="93">
        <v>6</v>
      </c>
      <c r="B35" s="93">
        <f>'water.demand.model'!J7/12</f>
        <v>0.58305079182298569</v>
      </c>
      <c r="C35" s="93">
        <f>'water.demand.model'!N7/12</f>
        <v>0</v>
      </c>
      <c r="D35" s="93">
        <f>'water.demand.model'!R7/12</f>
        <v>0</v>
      </c>
      <c r="E35">
        <f t="shared" si="3"/>
        <v>0.58305079182298569</v>
      </c>
      <c r="H35" s="93">
        <v>6</v>
      </c>
      <c r="I35" s="93">
        <f>'water.demand.model'!J7*WSCalcs!$G$25/WSCalcs!$G$28</f>
        <v>6.9966095018758283</v>
      </c>
      <c r="J35" s="93">
        <f>('water.demand.model'!N7*WSCalcs!$G$26)/WSCalcs!$G$28</f>
        <v>0</v>
      </c>
      <c r="K35" s="93">
        <f>('water.demand.model'!R7*WSCalcs!$G$27)/WSCalcs!$G$28</f>
        <v>0</v>
      </c>
      <c r="L35">
        <f t="shared" si="4"/>
        <v>6.9966095018758283</v>
      </c>
      <c r="M35">
        <f>L35/12*WSCalcs!$G$28</f>
        <v>6.6292827718166931</v>
      </c>
      <c r="N35">
        <f t="shared" si="5"/>
        <v>5.0727747636957821</v>
      </c>
      <c r="P35">
        <f>7.2*7.6/28.8</f>
        <v>1.9</v>
      </c>
    </row>
    <row r="36" spans="1:16" x14ac:dyDescent="0.3">
      <c r="A36" s="93">
        <v>7</v>
      </c>
      <c r="B36" s="93">
        <f>'water.demand.model'!J8/12</f>
        <v>0.48586822164548088</v>
      </c>
      <c r="C36" s="93">
        <f>'water.demand.model'!N8/12</f>
        <v>0</v>
      </c>
      <c r="D36" s="93">
        <f>'water.demand.model'!R8/12</f>
        <v>0</v>
      </c>
      <c r="E36">
        <f t="shared" si="3"/>
        <v>0.48586822164548088</v>
      </c>
      <c r="H36" s="93">
        <v>7</v>
      </c>
      <c r="I36" s="93">
        <f>('water.demand.model'!J8*WSCalcs!$G$25)/WSCalcs!$G$28</f>
        <v>5.8304186597457708</v>
      </c>
      <c r="J36" s="93">
        <f>('water.demand.model'!N8*WSCalcs!$G$26)/WSCalcs!$G$28</f>
        <v>0</v>
      </c>
      <c r="K36" s="93">
        <f>('water.demand.model'!R8*WSCalcs!$G$27)/WSCalcs!$G$28</f>
        <v>0</v>
      </c>
      <c r="L36">
        <f t="shared" si="4"/>
        <v>5.8304186597457708</v>
      </c>
      <c r="M36">
        <f>L36/12*WSCalcs!$G$28</f>
        <v>5.5243177374939307</v>
      </c>
      <c r="N36">
        <f t="shared" si="5"/>
        <v>3.9978871788053079</v>
      </c>
    </row>
    <row r="37" spans="1:16" x14ac:dyDescent="0.3">
      <c r="A37" s="93">
        <v>8</v>
      </c>
      <c r="B37" s="93">
        <f>'water.demand.model'!J9/12</f>
        <v>0</v>
      </c>
      <c r="C37" s="93">
        <f>'water.demand.model'!N9/12</f>
        <v>0</v>
      </c>
      <c r="D37" s="93">
        <f>'water.demand.model'!R9/12</f>
        <v>0</v>
      </c>
      <c r="E37">
        <f t="shared" si="3"/>
        <v>0</v>
      </c>
      <c r="H37" s="93">
        <v>8</v>
      </c>
      <c r="I37" s="93">
        <f>('water.demand.model'!J9*WSCalcs!$G$25)/WSCalcs!$G$28</f>
        <v>0</v>
      </c>
      <c r="J37" s="93">
        <f>('water.demand.model'!N9*WSCalcs!$G$26)/WSCalcs!$G$28</f>
        <v>0</v>
      </c>
      <c r="K37" s="93">
        <f>('water.demand.model'!R9*WSCalcs!$G$27)/WSCalcs!$G$28</f>
        <v>0</v>
      </c>
      <c r="L37">
        <f t="shared" si="4"/>
        <v>0</v>
      </c>
      <c r="M37">
        <f>L37/12*WSCalcs!$G$28</f>
        <v>0</v>
      </c>
      <c r="N37">
        <f t="shared" si="5"/>
        <v>0</v>
      </c>
    </row>
    <row r="38" spans="1:16" x14ac:dyDescent="0.3">
      <c r="A38" s="93">
        <v>9</v>
      </c>
      <c r="B38" s="93">
        <f>'water.demand.model'!J10/12</f>
        <v>0</v>
      </c>
      <c r="C38" s="93">
        <f>'water.demand.model'!N10/12</f>
        <v>0</v>
      </c>
      <c r="D38" s="93">
        <f>'water.demand.model'!R10/12</f>
        <v>0</v>
      </c>
      <c r="E38">
        <f t="shared" si="3"/>
        <v>0</v>
      </c>
      <c r="H38" s="93">
        <v>9</v>
      </c>
      <c r="I38" s="93">
        <f>('water.demand.model'!J10*WSCalcs!$G$25)/WSCalcs!$G$28</f>
        <v>0</v>
      </c>
      <c r="J38" s="93">
        <f>('water.demand.model'!N10*WSCalcs!$G$26)/WSCalcs!$G$28</f>
        <v>0</v>
      </c>
      <c r="K38" s="93">
        <f>('water.demand.model'!R10*WSCalcs!$G$27)/WSCalcs!$G$28</f>
        <v>0</v>
      </c>
      <c r="L38">
        <f t="shared" si="4"/>
        <v>0</v>
      </c>
      <c r="M38">
        <f>L38/12*WSCalcs!$G$28</f>
        <v>0</v>
      </c>
      <c r="N38">
        <f t="shared" si="5"/>
        <v>0</v>
      </c>
    </row>
    <row r="39" spans="1:16" x14ac:dyDescent="0.3">
      <c r="A39" s="93">
        <v>10</v>
      </c>
      <c r="B39" s="93">
        <f>'water.demand.model'!J11/12</f>
        <v>0</v>
      </c>
      <c r="C39" s="93">
        <f>'water.demand.model'!N11/12</f>
        <v>0</v>
      </c>
      <c r="D39" s="93">
        <f>'water.demand.model'!R11/12</f>
        <v>0</v>
      </c>
      <c r="E39">
        <f t="shared" si="3"/>
        <v>0</v>
      </c>
      <c r="H39" s="93">
        <v>10</v>
      </c>
      <c r="I39" s="93">
        <f>('water.demand.model'!J11*WSCalcs!$G$25)/WSCalcs!$G$28</f>
        <v>0</v>
      </c>
      <c r="J39" s="93">
        <f>('water.demand.model'!N11*WSCalcs!$G$26)/WSCalcs!$G$28</f>
        <v>0</v>
      </c>
      <c r="K39" s="93">
        <f>('water.demand.model'!R11*WSCalcs!$G$27)/WSCalcs!$G$28</f>
        <v>0</v>
      </c>
      <c r="L39">
        <f t="shared" si="4"/>
        <v>0</v>
      </c>
      <c r="M39">
        <f>L39/12*WSCalcs!$G$28</f>
        <v>0</v>
      </c>
      <c r="N39">
        <f t="shared" si="5"/>
        <v>0</v>
      </c>
    </row>
    <row r="40" spans="1:16" x14ac:dyDescent="0.3">
      <c r="A40" s="93">
        <v>11</v>
      </c>
      <c r="B40" s="93">
        <f>'water.demand.model'!J12/12</f>
        <v>0</v>
      </c>
      <c r="C40" s="93">
        <f>'water.demand.model'!N12/12</f>
        <v>0</v>
      </c>
      <c r="D40" s="93">
        <f>'water.demand.model'!R12/12</f>
        <v>0</v>
      </c>
      <c r="E40">
        <f t="shared" si="3"/>
        <v>0</v>
      </c>
      <c r="H40" s="93">
        <v>11</v>
      </c>
      <c r="I40" s="93">
        <f>('water.demand.model'!J12*WSCalcs!$G$25)/WSCalcs!$G$28</f>
        <v>0</v>
      </c>
      <c r="J40" s="93">
        <f>('water.demand.model'!N12*WSCalcs!$G$26)/WSCalcs!$G$28</f>
        <v>0</v>
      </c>
      <c r="K40" s="93">
        <f>('water.demand.model'!R12*WSCalcs!$G$27)/WSCalcs!$G$28</f>
        <v>0</v>
      </c>
      <c r="L40">
        <f t="shared" si="4"/>
        <v>0</v>
      </c>
      <c r="M40">
        <f>L40/12*WSCalcs!$G$28</f>
        <v>0</v>
      </c>
      <c r="N40">
        <f t="shared" si="5"/>
        <v>0</v>
      </c>
    </row>
    <row r="41" spans="1:16" x14ac:dyDescent="0.3">
      <c r="A41" s="93">
        <v>12</v>
      </c>
      <c r="B41" s="93">
        <f>'water.demand.model'!J13/12</f>
        <v>0</v>
      </c>
      <c r="C41" s="93">
        <f>'water.demand.model'!N13/12</f>
        <v>0</v>
      </c>
      <c r="D41" s="93">
        <f>'water.demand.model'!R13/12</f>
        <v>0</v>
      </c>
      <c r="E41">
        <f t="shared" si="3"/>
        <v>0</v>
      </c>
      <c r="F41" s="93" t="s">
        <v>1194</v>
      </c>
      <c r="H41" s="93">
        <v>12</v>
      </c>
      <c r="I41" s="93">
        <f>('water.demand.model'!J13*WSCalcs!$G$25)/WSCalcs!$G$28</f>
        <v>0</v>
      </c>
      <c r="J41" s="93">
        <f>('water.demand.model'!N13*WSCalcs!$G$26)/WSCalcs!$G$28</f>
        <v>0</v>
      </c>
      <c r="K41" s="93">
        <f>('water.demand.model'!R13*WSCalcs!$G$27)/WSCalcs!$G$28</f>
        <v>0</v>
      </c>
      <c r="L41">
        <f t="shared" si="4"/>
        <v>0</v>
      </c>
      <c r="M41">
        <f>L41/12*WSCalcs!$G$28</f>
        <v>0</v>
      </c>
      <c r="N41">
        <f t="shared" si="5"/>
        <v>0</v>
      </c>
    </row>
    <row r="42" spans="1:16" x14ac:dyDescent="0.3">
      <c r="A42" s="96" t="s">
        <v>1164</v>
      </c>
      <c r="B42" s="93">
        <f>SUM(B30:B41)</f>
        <v>1.4658468391727342</v>
      </c>
      <c r="C42" s="93">
        <f t="shared" ref="C42:D42" si="6">SUM(C30:C41)</f>
        <v>0</v>
      </c>
      <c r="D42" s="93">
        <f t="shared" si="6"/>
        <v>0</v>
      </c>
      <c r="E42" s="93">
        <f>AVERAGEIF((B42:D42),"&lt;&gt;0")</f>
        <v>1.4658468391727342</v>
      </c>
      <c r="F42" s="93">
        <f>SUM(B42:D42)</f>
        <v>1.4658468391727342</v>
      </c>
      <c r="N42">
        <f>SUM(N30:N41)</f>
        <v>12.376870441386572</v>
      </c>
    </row>
    <row r="43" spans="1:16" x14ac:dyDescent="0.3">
      <c r="A43" s="96" t="s">
        <v>1165</v>
      </c>
      <c r="B43" s="93">
        <f>B42/$F$42</f>
        <v>1</v>
      </c>
      <c r="C43" s="93">
        <f t="shared" ref="C43:D43" si="7">C42/$F$42</f>
        <v>0</v>
      </c>
      <c r="D43" s="93">
        <f t="shared" si="7"/>
        <v>0</v>
      </c>
    </row>
    <row r="44" spans="1:16" x14ac:dyDescent="0.3">
      <c r="A44" s="96" t="s">
        <v>1166</v>
      </c>
      <c r="B44" s="93"/>
      <c r="C44" s="93"/>
      <c r="D44" s="93"/>
    </row>
    <row r="45" spans="1:16" x14ac:dyDescent="0.3">
      <c r="A45" s="97"/>
      <c r="B45" s="9"/>
      <c r="C45" s="9"/>
      <c r="D45" s="9"/>
    </row>
    <row r="46" spans="1:16" x14ac:dyDescent="0.3">
      <c r="A46" s="156" t="s">
        <v>1174</v>
      </c>
      <c r="B46" s="156"/>
      <c r="C46" t="s">
        <v>1176</v>
      </c>
      <c r="D46" s="9"/>
    </row>
    <row r="47" spans="1:16" x14ac:dyDescent="0.3">
      <c r="A47" s="93" t="s">
        <v>1169</v>
      </c>
      <c r="B47" s="94">
        <f>($D$4+B26)/B42</f>
        <v>10.430691540672182</v>
      </c>
      <c r="D47" s="9"/>
    </row>
    <row r="48" spans="1:16" x14ac:dyDescent="0.3">
      <c r="A48" s="93" t="s">
        <v>1170</v>
      </c>
      <c r="B48" s="94">
        <f>IF(C42&gt;0,(($D$4+C26)/C42),0)</f>
        <v>0</v>
      </c>
      <c r="D48" s="9"/>
    </row>
    <row r="49" spans="1:8" x14ac:dyDescent="0.3">
      <c r="A49" s="93" t="s">
        <v>1171</v>
      </c>
      <c r="B49" s="94">
        <f>IF(D42&gt;0,(($D$4+D26)/D42),0)</f>
        <v>0</v>
      </c>
      <c r="D49" s="9"/>
    </row>
    <row r="50" spans="1:8" x14ac:dyDescent="0.3">
      <c r="A50" s="96" t="s">
        <v>1198</v>
      </c>
      <c r="B50" s="99">
        <f>AVERAGEIF((B47:B49),"&lt;&gt;0")</f>
        <v>10.430691540672182</v>
      </c>
      <c r="C50" s="9"/>
      <c r="D50" s="9"/>
    </row>
    <row r="51" spans="1:8" x14ac:dyDescent="0.3">
      <c r="A51" s="96" t="s">
        <v>1199</v>
      </c>
      <c r="B51" s="99">
        <f>(D4+E26)/E42</f>
        <v>10.430691540672182</v>
      </c>
      <c r="C51" s="9"/>
      <c r="D51" s="9"/>
    </row>
    <row r="53" spans="1:8" x14ac:dyDescent="0.3">
      <c r="A53" s="162" t="s">
        <v>64</v>
      </c>
      <c r="B53" s="163"/>
      <c r="C53" s="163"/>
      <c r="D53" s="163"/>
      <c r="E53" s="163"/>
      <c r="F53" s="163"/>
      <c r="G53" s="163"/>
      <c r="H53" s="163"/>
    </row>
    <row r="54" spans="1:8" x14ac:dyDescent="0.3">
      <c r="A54" s="93"/>
      <c r="B54" s="93" t="s">
        <v>1160</v>
      </c>
      <c r="C54" s="93" t="s">
        <v>1165</v>
      </c>
      <c r="D54" s="93" t="s">
        <v>1203</v>
      </c>
      <c r="E54" s="93" t="s">
        <v>1172</v>
      </c>
      <c r="F54" s="100" t="s">
        <v>1200</v>
      </c>
      <c r="G54" s="93" t="s">
        <v>1201</v>
      </c>
      <c r="H54" s="98" t="s">
        <v>1202</v>
      </c>
    </row>
    <row r="55" spans="1:8" x14ac:dyDescent="0.3">
      <c r="A55" s="93" t="s">
        <v>1169</v>
      </c>
      <c r="B55" s="93">
        <f>'water.demand.model'!J15/12</f>
        <v>1.4658468391727342</v>
      </c>
      <c r="C55" s="93">
        <f>B55/$B$58</f>
        <v>1</v>
      </c>
      <c r="D55" s="93">
        <f>1-C55</f>
        <v>0</v>
      </c>
      <c r="E55" s="93">
        <f>IF(Crop2="Null",1,(IF(C55&gt;0,(1-C55)/SUMIF(D$55:D$57,"&lt;&gt;0"),0)))</f>
        <v>1</v>
      </c>
      <c r="F55" s="93">
        <f>B50*VALUE(Acres1)/total.acres</f>
        <v>10.430691540672182</v>
      </c>
      <c r="G55" s="93">
        <f>B51*VALUE(Acres1)/total.acres</f>
        <v>10.430691540672182</v>
      </c>
      <c r="H55" s="94">
        <f>F55</f>
        <v>10.430691540672182</v>
      </c>
    </row>
    <row r="56" spans="1:8" x14ac:dyDescent="0.3">
      <c r="A56" s="93" t="s">
        <v>1170</v>
      </c>
      <c r="B56" s="93">
        <f>'water.demand.model'!N15/12</f>
        <v>0</v>
      </c>
      <c r="C56" s="93">
        <f t="shared" ref="C56:C57" si="8">B56/$B$58</f>
        <v>0</v>
      </c>
      <c r="D56" s="93">
        <f>IF(C56&gt;0,(1-C56),0)</f>
        <v>0</v>
      </c>
      <c r="E56" s="93">
        <f t="shared" ref="E56:E57" si="9">IF(C56&gt;0,(1-C56)/SUMIF(D$55:D$57,"&lt;&gt;0"),0)</f>
        <v>0</v>
      </c>
      <c r="F56" s="93">
        <f>B50*VALUE(Acres2)/total.acres</f>
        <v>0</v>
      </c>
      <c r="G56" s="93">
        <f>B51*VALUE(Acres2)/total.acres</f>
        <v>0</v>
      </c>
      <c r="H56" s="94">
        <f t="shared" ref="H56:H57" si="10">F56</f>
        <v>0</v>
      </c>
    </row>
    <row r="57" spans="1:8" x14ac:dyDescent="0.3">
      <c r="A57" s="93" t="s">
        <v>1171</v>
      </c>
      <c r="B57" s="93">
        <f>'water.demand.model'!R15/12</f>
        <v>0</v>
      </c>
      <c r="C57" s="93">
        <f t="shared" si="8"/>
        <v>0</v>
      </c>
      <c r="D57" s="93">
        <f>IF(C57&gt;0,(1-C57),0)</f>
        <v>0</v>
      </c>
      <c r="E57" s="93">
        <f t="shared" si="9"/>
        <v>0</v>
      </c>
      <c r="F57" s="93">
        <f>B50*VALUE(Acres3)/total.acres</f>
        <v>0</v>
      </c>
      <c r="G57" s="93">
        <f>B51*VALUE(Acres3)/total.acres</f>
        <v>0</v>
      </c>
      <c r="H57" s="94">
        <f t="shared" si="10"/>
        <v>0</v>
      </c>
    </row>
    <row r="58" spans="1:8" x14ac:dyDescent="0.3">
      <c r="A58" s="93" t="s">
        <v>1164</v>
      </c>
      <c r="B58" s="93">
        <f>SUM(B55:B57)</f>
        <v>1.4658468391727342</v>
      </c>
      <c r="C58" s="93">
        <f t="shared" ref="C58" si="11">SUM(C55:C57)</f>
        <v>1</v>
      </c>
      <c r="D58" s="93">
        <f>SUM(D55:D57)</f>
        <v>0</v>
      </c>
      <c r="E58" s="93">
        <f>SUM(E55:E57)</f>
        <v>1</v>
      </c>
      <c r="F58" s="98">
        <f>SUM(F55:F57)</f>
        <v>10.430691540672182</v>
      </c>
      <c r="G58" s="98">
        <f>SUM(G55:G57)</f>
        <v>10.430691540672182</v>
      </c>
      <c r="H58" s="98">
        <f>SUM(H55:H57)</f>
        <v>10.430691540672182</v>
      </c>
    </row>
    <row r="62" spans="1:8" x14ac:dyDescent="0.3">
      <c r="A62" t="s">
        <v>1205</v>
      </c>
      <c r="C62">
        <f>N42</f>
        <v>12.376870441386572</v>
      </c>
    </row>
  </sheetData>
  <sheetProtection algorithmName="SHA-512" hashValue="YevMFYP8W9NZrRpDHpimEoH547UnOSAAsBfDVPNto8ctu6e0xOEc+FP6xL1RFdXXwnYR2f/ZyyzVnh9Brd0p2g==" saltValue="1kPOTsqLeMvSck09BuCaow==" spinCount="100000" sheet="1" objects="1" scenarios="1"/>
  <mergeCells count="7">
    <mergeCell ref="A53:H53"/>
    <mergeCell ref="H28:K28"/>
    <mergeCell ref="A12:D12"/>
    <mergeCell ref="A28:D28"/>
    <mergeCell ref="B2:C2"/>
    <mergeCell ref="B4:C4"/>
    <mergeCell ref="A46:B4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L38"/>
  <sheetViews>
    <sheetView view="pageLayout" topLeftCell="A19" zoomScaleNormal="100" workbookViewId="0">
      <selection activeCell="C11" sqref="C11"/>
    </sheetView>
  </sheetViews>
  <sheetFormatPr defaultRowHeight="14.4" x14ac:dyDescent="0.3"/>
  <cols>
    <col min="1" max="1" width="5.6640625" customWidth="1"/>
    <col min="2" max="2" width="24.33203125" customWidth="1"/>
    <col min="3" max="3" width="14" customWidth="1"/>
  </cols>
  <sheetData>
    <row r="1" spans="2:9" ht="15" customHeight="1" x14ac:dyDescent="0.3">
      <c r="B1" s="165" t="s">
        <v>1183</v>
      </c>
      <c r="C1" s="165"/>
      <c r="D1" s="165"/>
      <c r="E1" s="165"/>
      <c r="F1" s="165"/>
      <c r="G1" s="165"/>
      <c r="H1" s="165"/>
      <c r="I1" s="165"/>
    </row>
    <row r="2" spans="2:9" ht="15.75" customHeight="1" thickBot="1" x14ac:dyDescent="0.35">
      <c r="B2" s="166"/>
      <c r="C2" s="166"/>
      <c r="D2" s="166"/>
      <c r="E2" s="166"/>
      <c r="F2" s="166"/>
      <c r="G2" s="166"/>
      <c r="H2" s="166"/>
      <c r="I2" s="166"/>
    </row>
    <row r="4" spans="2:9" x14ac:dyDescent="0.3">
      <c r="B4" s="168" t="s">
        <v>1187</v>
      </c>
      <c r="C4" s="170" t="s">
        <v>1188</v>
      </c>
    </row>
    <row r="5" spans="2:9" x14ac:dyDescent="0.3">
      <c r="B5" s="169"/>
      <c r="C5" s="171"/>
    </row>
    <row r="6" spans="2:9" ht="18" x14ac:dyDescent="0.35">
      <c r="B6" s="117" t="str">
        <f>Crop1</f>
        <v>Corn (field)</v>
      </c>
      <c r="C6" s="118" t="str">
        <f>Acres1</f>
        <v>100</v>
      </c>
    </row>
    <row r="7" spans="2:9" ht="18" x14ac:dyDescent="0.35">
      <c r="B7" s="119" t="str">
        <f>IF(Crop2="Null"," ",Crop2)</f>
        <v xml:space="preserve"> </v>
      </c>
      <c r="C7" s="120" t="str">
        <f>IF(Crop2="Null"," ",Acres2)</f>
        <v xml:space="preserve"> </v>
      </c>
    </row>
    <row r="8" spans="2:9" ht="18" x14ac:dyDescent="0.35">
      <c r="B8" s="121" t="str">
        <f>IF(Crop3="Null"," ",Crop3)</f>
        <v xml:space="preserve"> </v>
      </c>
      <c r="C8" s="122" t="str">
        <f>IF(Crop3="Null"," ",Acres3)</f>
        <v xml:space="preserve"> </v>
      </c>
    </row>
    <row r="10" spans="2:9" ht="15" thickBot="1" x14ac:dyDescent="0.35"/>
    <row r="11" spans="2:9" ht="21.6" thickBot="1" x14ac:dyDescent="0.45">
      <c r="B11" s="104" t="s">
        <v>1189</v>
      </c>
      <c r="C11" s="105">
        <v>11</v>
      </c>
    </row>
    <row r="12" spans="2:9" x14ac:dyDescent="0.3">
      <c r="C12" s="9"/>
    </row>
    <row r="13" spans="2:9" ht="21" x14ac:dyDescent="0.4">
      <c r="B13" s="106" t="s">
        <v>1190</v>
      </c>
      <c r="C13" s="123" t="str">
        <f>WatSize</f>
        <v>25</v>
      </c>
    </row>
    <row r="14" spans="2:9" ht="21" x14ac:dyDescent="0.4">
      <c r="B14" s="112"/>
      <c r="C14" s="113"/>
    </row>
    <row r="15" spans="2:9" ht="21" x14ac:dyDescent="0.4">
      <c r="B15" s="106" t="s">
        <v>1191</v>
      </c>
      <c r="C15" s="116">
        <f>(MIN(WSCalcs!C2,PondSizeCalcs!D2))</f>
        <v>10.4</v>
      </c>
    </row>
    <row r="16" spans="2:9" x14ac:dyDescent="0.3">
      <c r="C16" s="9"/>
    </row>
    <row r="17" spans="2:12" ht="44.25" customHeight="1" x14ac:dyDescent="0.3">
      <c r="B17" s="107" t="s">
        <v>1192</v>
      </c>
      <c r="C17" s="172" t="str">
        <f>IF(C15&gt;100,"NONE",(IF(PondSizeCalcs!D2&lt;WSCalcs!C2,WSCalcs!A36,WSCalcs!A33)))</f>
        <v>The planned POND VOLUME is insufficient for meeting the irrigation demand of the planned crop acres.</v>
      </c>
      <c r="D17" s="172"/>
      <c r="E17" s="172"/>
      <c r="F17" s="172"/>
      <c r="G17" s="172"/>
      <c r="H17" s="172"/>
      <c r="I17" s="172"/>
      <c r="J17" s="108"/>
      <c r="K17" s="108"/>
    </row>
    <row r="19" spans="2:12" ht="131.25" customHeight="1" x14ac:dyDescent="0.3">
      <c r="B19" s="107" t="s">
        <v>1207</v>
      </c>
      <c r="C19" s="172" t="str">
        <f>IF(C15&gt;100,WSCalcs!A47,IF(PondSizeCalcs!D2&lt;WSCalcs!C2,WSCalcs!A37,WSCalcs!A34))</f>
        <v xml:space="preserve">• The planned pond volume will only provide enough storage to adequately irrigate the crop acres listed below.
• Increasing the pond size, if feasible, will result in additional crop acres that can be adequately irrigated.
• Irrigated crop acres will increase with increased pond size up to the maximum pond volume listed below. 
• At pond volumes greater than the maximum, irrigated crop acres are limited by the watershed runoff volume.
</v>
      </c>
      <c r="D19" s="172"/>
      <c r="E19" s="172"/>
      <c r="F19" s="172"/>
      <c r="G19" s="172"/>
      <c r="H19" s="172"/>
      <c r="I19" s="172"/>
      <c r="J19" s="108"/>
      <c r="K19" s="108"/>
    </row>
    <row r="21" spans="2:12" ht="18.75" customHeight="1" x14ac:dyDescent="0.3">
      <c r="B21" s="167" t="s">
        <v>1210</v>
      </c>
      <c r="C21" s="181" t="s">
        <v>1208</v>
      </c>
      <c r="D21" s="181"/>
      <c r="E21" s="181"/>
      <c r="F21" s="128"/>
      <c r="G21" s="128"/>
      <c r="H21" s="128"/>
      <c r="I21" s="128"/>
      <c r="J21" s="108"/>
      <c r="K21" s="108"/>
    </row>
    <row r="22" spans="2:12" ht="20.25" customHeight="1" x14ac:dyDescent="0.3">
      <c r="B22" s="167"/>
      <c r="C22" s="143" t="str">
        <f>Crop1</f>
        <v>Corn (field)</v>
      </c>
      <c r="D22" s="144">
        <f>(IF(PondSizeCalcs!$D$2&lt;WSCalcs!$C$2,PondSizeCalcs!H55,WSCalcs!G25))</f>
        <v>10.430691540672182</v>
      </c>
      <c r="E22" s="145" t="s">
        <v>1213</v>
      </c>
      <c r="F22" s="124"/>
      <c r="G22" s="124"/>
    </row>
    <row r="23" spans="2:12" ht="20.25" customHeight="1" x14ac:dyDescent="0.3">
      <c r="B23" s="167"/>
      <c r="C23" s="146" t="str">
        <f>IF(Crop2="Null"," ",Crop2)</f>
        <v xml:space="preserve"> </v>
      </c>
      <c r="D23" s="147" t="str">
        <f>IF(Crop2="Null"," ",(IF(PondSizeCalcs!$D$2&lt;WSCalcs!$C$2,PondSizeCalcs!H56,WSCalcs!G26)))</f>
        <v xml:space="preserve"> </v>
      </c>
      <c r="E23" s="148" t="str">
        <f>IF(Crop2="Null"," "," Acres")</f>
        <v xml:space="preserve"> </v>
      </c>
      <c r="F23" s="129"/>
      <c r="H23" s="177" t="s">
        <v>1212</v>
      </c>
      <c r="I23" s="178"/>
    </row>
    <row r="24" spans="2:12" ht="20.25" customHeight="1" x14ac:dyDescent="0.3">
      <c r="B24" s="167"/>
      <c r="C24" s="134" t="str">
        <f>IF(Crop3="Null"," ",Crop3)</f>
        <v xml:space="preserve"> </v>
      </c>
      <c r="D24" s="135" t="str">
        <f>IF(Crop3="Null"," ",(IF(PondSizeCalcs!$D$2&lt;WSCalcs!$C$2,PondSizeCalcs!H57,WSCalcs!G27)))</f>
        <v xml:space="preserve"> </v>
      </c>
      <c r="E24" s="136" t="str">
        <f>IF(Crop3="Null"," "," Acres")</f>
        <v xml:space="preserve"> </v>
      </c>
      <c r="F24" s="129"/>
      <c r="H24" s="179"/>
      <c r="I24" s="180"/>
    </row>
    <row r="25" spans="2:12" ht="20.25" customHeight="1" x14ac:dyDescent="0.3">
      <c r="B25" s="167"/>
      <c r="C25" s="173" t="s">
        <v>1209</v>
      </c>
      <c r="D25" s="173"/>
      <c r="E25" s="173"/>
      <c r="F25" s="129"/>
      <c r="H25" s="151">
        <f>PondSizeCalcs!C62</f>
        <v>12.376870441386572</v>
      </c>
      <c r="I25" s="149" t="s">
        <v>988</v>
      </c>
    </row>
    <row r="26" spans="2:12" ht="20.25" customHeight="1" thickBot="1" x14ac:dyDescent="0.35">
      <c r="B26" s="167"/>
      <c r="C26" s="137" t="str">
        <f>Crop1</f>
        <v>Corn (field)</v>
      </c>
      <c r="D26" s="138">
        <f>IF(Crop1="Null"," ",(IF(PondSizeCalcs!$D$2&lt;WSCalcs!$C$2,PondSizeCalcs!B47,WSCalcs!B19)))</f>
        <v>10.430691540672182</v>
      </c>
      <c r="E26" s="139" t="s">
        <v>1213</v>
      </c>
      <c r="F26" s="129"/>
      <c r="G26" s="127"/>
      <c r="H26" s="129"/>
    </row>
    <row r="27" spans="2:12" ht="13.5" customHeight="1" thickTop="1" thickBot="1" x14ac:dyDescent="0.35">
      <c r="B27" s="167"/>
      <c r="C27" s="174" t="s">
        <v>1220</v>
      </c>
      <c r="D27" s="175"/>
      <c r="E27" s="176"/>
      <c r="F27" s="129"/>
      <c r="G27" s="127"/>
      <c r="H27" s="129"/>
    </row>
    <row r="28" spans="2:12" ht="20.25" customHeight="1" thickTop="1" thickBot="1" x14ac:dyDescent="0.35">
      <c r="B28" s="167"/>
      <c r="C28" s="140" t="str">
        <f>IF(Crop2="Null"," ",Crop2)</f>
        <v xml:space="preserve"> </v>
      </c>
      <c r="D28" s="141" t="str">
        <f>IF(Crop2="Null"," ",(IF(PondSizeCalcs!$D$2&lt;WSCalcs!$C$2,PondSizeCalcs!B48,WSCalcs!B20)))</f>
        <v xml:space="preserve"> </v>
      </c>
      <c r="E28" s="142" t="str">
        <f>IF(Crop2="Null"," "," Acres")</f>
        <v xml:space="preserve"> </v>
      </c>
      <c r="F28" s="127"/>
      <c r="G28" s="127"/>
      <c r="H28" s="127"/>
    </row>
    <row r="29" spans="2:12" ht="13.5" customHeight="1" thickTop="1" thickBot="1" x14ac:dyDescent="0.35">
      <c r="B29" s="167"/>
      <c r="C29" s="174" t="s">
        <v>1220</v>
      </c>
      <c r="D29" s="175"/>
      <c r="E29" s="176"/>
      <c r="F29" s="127"/>
      <c r="G29" s="127"/>
      <c r="H29" s="127"/>
    </row>
    <row r="30" spans="2:12" ht="20.25" customHeight="1" thickTop="1" x14ac:dyDescent="0.3">
      <c r="B30" s="167"/>
      <c r="C30" s="134" t="str">
        <f>IF(Crop3="Null"," ",Crop3)</f>
        <v xml:space="preserve"> </v>
      </c>
      <c r="D30" s="135" t="str">
        <f>IF(Crop3="Null"," ",(IF(PondSizeCalcs!$D$2&lt;WSCalcs!$C$2,PondSizeCalcs!B49,WSCalcs!B21)))</f>
        <v xml:space="preserve"> </v>
      </c>
      <c r="E30" s="136" t="str">
        <f>IF(Crop3="Null"," "," Acres")</f>
        <v xml:space="preserve"> </v>
      </c>
      <c r="F30" s="127"/>
      <c r="G30" s="127"/>
      <c r="H30" s="127"/>
    </row>
    <row r="31" spans="2:12" x14ac:dyDescent="0.3">
      <c r="B31" s="127"/>
      <c r="C31" s="127"/>
      <c r="D31" s="127"/>
      <c r="E31" s="127"/>
      <c r="F31" s="127"/>
      <c r="G31" s="127"/>
      <c r="H31" s="127"/>
    </row>
    <row r="32" spans="2:12" ht="10.5" customHeight="1" x14ac:dyDescent="0.35">
      <c r="B32" s="182"/>
      <c r="C32" s="182"/>
      <c r="D32" s="182"/>
      <c r="E32" s="182"/>
      <c r="F32" s="182"/>
      <c r="G32" s="182"/>
      <c r="H32" s="182"/>
      <c r="I32" s="182"/>
      <c r="J32" s="150"/>
      <c r="K32" s="150"/>
      <c r="L32" s="150"/>
    </row>
    <row r="34" spans="2:12" ht="15.6" x14ac:dyDescent="0.3">
      <c r="B34" s="109" t="s">
        <v>1184</v>
      </c>
      <c r="H34" s="109"/>
      <c r="K34" s="110"/>
      <c r="L34" s="9"/>
    </row>
    <row r="35" spans="2:12" ht="15.6" x14ac:dyDescent="0.3">
      <c r="B35" s="111" t="s">
        <v>6</v>
      </c>
      <c r="E35" s="111" t="s">
        <v>1185</v>
      </c>
      <c r="H35" s="111" t="s">
        <v>1186</v>
      </c>
    </row>
    <row r="36" spans="2:12" x14ac:dyDescent="0.3">
      <c r="B36" s="183"/>
      <c r="C36" s="184"/>
      <c r="D36" s="9"/>
      <c r="E36" s="183"/>
      <c r="F36" s="184"/>
      <c r="H36" s="183"/>
      <c r="I36" s="184"/>
    </row>
    <row r="37" spans="2:12" x14ac:dyDescent="0.3">
      <c r="B37" s="185"/>
      <c r="C37" s="186"/>
      <c r="D37" s="9"/>
      <c r="E37" s="185"/>
      <c r="F37" s="186"/>
      <c r="H37" s="185"/>
      <c r="I37" s="186"/>
    </row>
    <row r="38" spans="2:12" x14ac:dyDescent="0.3">
      <c r="B38" s="9"/>
      <c r="C38" s="9"/>
      <c r="D38" s="9"/>
      <c r="E38" s="9"/>
      <c r="F38" s="9"/>
      <c r="H38" s="9"/>
      <c r="I38" s="9"/>
    </row>
  </sheetData>
  <sheetProtection algorithmName="SHA-512" hashValue="rkuP+GjPark5efizS/6MRrKDw4tzQbMuco6NgEDpbydN52bjSRsMwXHv7LCSwObbr0lehNq3fRTLQGTFml4n1A==" saltValue="axaFZwz2JJx39EW2X8w+mw==" spinCount="100000" sheet="1" objects="1" scenarios="1"/>
  <protectedRanges>
    <protectedRange sqref="C11" name="Range1"/>
  </protectedRanges>
  <mergeCells count="15">
    <mergeCell ref="B32:I32"/>
    <mergeCell ref="B36:C37"/>
    <mergeCell ref="E36:F37"/>
    <mergeCell ref="H36:I37"/>
    <mergeCell ref="B1:I2"/>
    <mergeCell ref="B21:B30"/>
    <mergeCell ref="B4:B5"/>
    <mergeCell ref="C4:C5"/>
    <mergeCell ref="C17:I17"/>
    <mergeCell ref="C19:I19"/>
    <mergeCell ref="C25:E25"/>
    <mergeCell ref="C27:E27"/>
    <mergeCell ref="C29:E29"/>
    <mergeCell ref="H23:I24"/>
    <mergeCell ref="C21:E21"/>
  </mergeCells>
  <conditionalFormatting sqref="C15">
    <cfRule type="colorScale" priority="1">
      <colorScale>
        <cfvo type="num" val="0"/>
        <cfvo type="num" val="50"/>
        <cfvo type="num" val="100"/>
        <color rgb="FFFF0000"/>
        <color rgb="FFFFFF00"/>
        <color rgb="FF00B050"/>
      </colorScale>
    </cfRule>
  </conditionalFormatting>
  <pageMargins left="0.25" right="0.25" top="0.25" bottom="0.25" header="0" footer="0"/>
  <pageSetup orientation="portrait" r:id="rId1"/>
  <drawing r:id="rId2"/>
  <legacyDrawing r:id="rId3"/>
  <controls>
    <mc:AlternateContent xmlns:mc="http://schemas.openxmlformats.org/markup-compatibility/2006">
      <mc:Choice Requires="x14">
        <control shapeId="92161" r:id="rId4" name="CommandButton1">
          <controlPr defaultSize="0" autoLine="0" r:id="rId5">
            <anchor moveWithCells="1">
              <from>
                <xdr:col>6</xdr:col>
                <xdr:colOff>419100</xdr:colOff>
                <xdr:row>3</xdr:row>
                <xdr:rowOff>0</xdr:rowOff>
              </from>
              <to>
                <xdr:col>7</xdr:col>
                <xdr:colOff>594360</xdr:colOff>
                <xdr:row>5</xdr:row>
                <xdr:rowOff>30480</xdr:rowOff>
              </to>
            </anchor>
          </controlPr>
        </control>
      </mc:Choice>
      <mc:Fallback>
        <control shapeId="92161" r:id="rId4" name="CommandButton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3:R21"/>
  <sheetViews>
    <sheetView showGridLines="0" workbookViewId="0"/>
  </sheetViews>
  <sheetFormatPr defaultRowHeight="14.4" x14ac:dyDescent="0.3"/>
  <cols>
    <col min="1" max="2" width="10.88671875" customWidth="1"/>
    <col min="5" max="5" width="8.6640625" customWidth="1"/>
  </cols>
  <sheetData>
    <row r="3" spans="1:18" ht="16.2" thickBot="1" x14ac:dyDescent="0.35">
      <c r="A3" s="59" t="s">
        <v>64</v>
      </c>
      <c r="B3" s="60" t="s">
        <v>64</v>
      </c>
      <c r="C3" s="61" t="s">
        <v>64</v>
      </c>
    </row>
    <row r="4" spans="1:18" ht="16.2" thickBot="1" x14ac:dyDescent="0.35">
      <c r="A4" s="62" t="s">
        <v>9</v>
      </c>
      <c r="B4" s="63" t="str">
        <f>county</f>
        <v xml:space="preserve">Davidson </v>
      </c>
      <c r="C4" s="64"/>
    </row>
    <row r="6" spans="1:18" x14ac:dyDescent="0.3">
      <c r="A6" s="50"/>
      <c r="B6" s="50"/>
      <c r="C6" s="58"/>
      <c r="D6" s="187" t="str">
        <f>IF(Crop1="","NULL",Crop1)</f>
        <v>Corn (field)</v>
      </c>
      <c r="E6" s="188"/>
      <c r="F6" s="188"/>
      <c r="G6" s="188"/>
      <c r="H6" s="189"/>
      <c r="I6" s="187" t="str">
        <f>IF(Crop2="","NULL",Crop2)</f>
        <v>Null</v>
      </c>
      <c r="J6" s="188"/>
      <c r="K6" s="188"/>
      <c r="L6" s="188"/>
      <c r="M6" s="189"/>
      <c r="N6" s="187" t="str">
        <f>IF(Crop3="","NULL",Crop3)</f>
        <v>Null</v>
      </c>
      <c r="O6" s="188"/>
      <c r="P6" s="188"/>
      <c r="Q6" s="188"/>
      <c r="R6" s="189"/>
    </row>
    <row r="7" spans="1:18" ht="15" thickBot="1" x14ac:dyDescent="0.35">
      <c r="A7" s="65" t="s">
        <v>396</v>
      </c>
      <c r="B7" s="65" t="s">
        <v>995</v>
      </c>
      <c r="C7" s="65" t="s">
        <v>994</v>
      </c>
      <c r="D7" s="66" t="s">
        <v>996</v>
      </c>
      <c r="E7" s="65" t="s">
        <v>997</v>
      </c>
      <c r="F7" s="65" t="s">
        <v>998</v>
      </c>
      <c r="G7" s="65" t="s">
        <v>999</v>
      </c>
      <c r="H7" s="67" t="s">
        <v>1000</v>
      </c>
      <c r="I7" s="66" t="s">
        <v>996</v>
      </c>
      <c r="J7" s="65" t="s">
        <v>997</v>
      </c>
      <c r="K7" s="65" t="s">
        <v>998</v>
      </c>
      <c r="L7" s="65" t="s">
        <v>999</v>
      </c>
      <c r="M7" s="67" t="s">
        <v>1000</v>
      </c>
      <c r="N7" s="66" t="s">
        <v>996</v>
      </c>
      <c r="O7" s="65" t="s">
        <v>997</v>
      </c>
      <c r="P7" s="65" t="s">
        <v>998</v>
      </c>
      <c r="Q7" s="65" t="s">
        <v>999</v>
      </c>
      <c r="R7" s="67" t="s">
        <v>1000</v>
      </c>
    </row>
    <row r="8" spans="1:18" x14ac:dyDescent="0.3">
      <c r="A8" s="50">
        <v>1</v>
      </c>
      <c r="B8" s="51">
        <f>+'water.demand.model'!B2</f>
        <v>1.4889763779527558</v>
      </c>
      <c r="C8" s="51">
        <f>+'water.demand.model'!G2</f>
        <v>3.59</v>
      </c>
      <c r="D8" s="52">
        <f>+'water.demand.model'!C2</f>
        <v>0</v>
      </c>
      <c r="E8" s="53">
        <f>+'water.demand.model'!F2</f>
        <v>0</v>
      </c>
      <c r="F8" s="53">
        <f>IF(E8=0,0,+'water.demand.model'!H2)</f>
        <v>0</v>
      </c>
      <c r="G8" s="53">
        <f>+'water.demand.model'!I2</f>
        <v>0</v>
      </c>
      <c r="H8" s="54">
        <f>+'water.demand.model'!J2</f>
        <v>0</v>
      </c>
      <c r="I8" s="52">
        <f>+'water.demand.model'!D2</f>
        <v>0</v>
      </c>
      <c r="J8" s="53">
        <f>+'water.demand.model'!K2</f>
        <v>0</v>
      </c>
      <c r="K8" s="53">
        <f>IF(J8=0,0,+'water.demand.model'!L2)</f>
        <v>0</v>
      </c>
      <c r="L8" s="53">
        <f>+'water.demand.model'!M2</f>
        <v>0</v>
      </c>
      <c r="M8" s="54">
        <f>+'water.demand.model'!N2</f>
        <v>0</v>
      </c>
      <c r="N8" s="52">
        <f>+'water.demand.model'!E2</f>
        <v>0</v>
      </c>
      <c r="O8" s="53">
        <f>+'water.demand.model'!O2</f>
        <v>0</v>
      </c>
      <c r="P8" s="53">
        <f>IF(O8=0,0,+'water.demand.model'!P2)</f>
        <v>0</v>
      </c>
      <c r="Q8" s="53">
        <f>+'water.demand.model'!Q2</f>
        <v>0</v>
      </c>
      <c r="R8" s="54">
        <f>+'water.demand.model'!R2</f>
        <v>0</v>
      </c>
    </row>
    <row r="9" spans="1:18" x14ac:dyDescent="0.3">
      <c r="A9" s="50">
        <v>2</v>
      </c>
      <c r="B9" s="51">
        <f>+'water.demand.model'!B3</f>
        <v>1.9401574803149606</v>
      </c>
      <c r="C9" s="51">
        <f>+'water.demand.model'!G3</f>
        <v>3.71</v>
      </c>
      <c r="D9" s="52">
        <f>+'water.demand.model'!C3</f>
        <v>0</v>
      </c>
      <c r="E9" s="53">
        <f>+'water.demand.model'!F3</f>
        <v>0</v>
      </c>
      <c r="F9" s="53">
        <f>IF(E9=0,0,+'water.demand.model'!H3)</f>
        <v>0</v>
      </c>
      <c r="G9" s="53">
        <f>+'water.demand.model'!I3</f>
        <v>0</v>
      </c>
      <c r="H9" s="54">
        <f>+'water.demand.model'!J3</f>
        <v>0</v>
      </c>
      <c r="I9" s="52">
        <f>+'water.demand.model'!D3</f>
        <v>0</v>
      </c>
      <c r="J9" s="53">
        <f>+'water.demand.model'!K3</f>
        <v>0</v>
      </c>
      <c r="K9" s="53">
        <f>IF(J9=0,0,+'water.demand.model'!L3)</f>
        <v>0</v>
      </c>
      <c r="L9" s="53">
        <f>+'water.demand.model'!M3</f>
        <v>0</v>
      </c>
      <c r="M9" s="54">
        <f>+'water.demand.model'!N3</f>
        <v>0</v>
      </c>
      <c r="N9" s="52">
        <f>+'water.demand.model'!E3</f>
        <v>0</v>
      </c>
      <c r="O9" s="53">
        <f>+'water.demand.model'!O3</f>
        <v>0</v>
      </c>
      <c r="P9" s="53">
        <f>IF(O9=0,0,+'water.demand.model'!P3)</f>
        <v>0</v>
      </c>
      <c r="Q9" s="53">
        <f>+'water.demand.model'!Q3</f>
        <v>0</v>
      </c>
      <c r="R9" s="54">
        <f>+'water.demand.model'!R3</f>
        <v>0</v>
      </c>
    </row>
    <row r="10" spans="1:18" x14ac:dyDescent="0.3">
      <c r="A10" s="50">
        <v>3</v>
      </c>
      <c r="B10" s="51">
        <f>+'water.demand.model'!B4</f>
        <v>3.2952755905511819</v>
      </c>
      <c r="C10" s="51">
        <f>+'water.demand.model'!G4</f>
        <v>4.04</v>
      </c>
      <c r="D10" s="52">
        <f>+'water.demand.model'!C4</f>
        <v>0</v>
      </c>
      <c r="E10" s="53">
        <f>+'water.demand.model'!F4</f>
        <v>0</v>
      </c>
      <c r="F10" s="53">
        <f>IF(E10=0,0,+'water.demand.model'!H4)</f>
        <v>0</v>
      </c>
      <c r="G10" s="53">
        <f>+'water.demand.model'!I4</f>
        <v>0</v>
      </c>
      <c r="H10" s="54">
        <f>+'water.demand.model'!J4</f>
        <v>0</v>
      </c>
      <c r="I10" s="52">
        <f>+'water.demand.model'!D4</f>
        <v>0</v>
      </c>
      <c r="J10" s="53">
        <f>+'water.demand.model'!K4</f>
        <v>0</v>
      </c>
      <c r="K10" s="53">
        <f>IF(J10=0,0,+'water.demand.model'!L4)</f>
        <v>0</v>
      </c>
      <c r="L10" s="53">
        <f>+'water.demand.model'!M4</f>
        <v>0</v>
      </c>
      <c r="M10" s="54">
        <f>+'water.demand.model'!N4</f>
        <v>0</v>
      </c>
      <c r="N10" s="52">
        <f>+'water.demand.model'!E4</f>
        <v>0</v>
      </c>
      <c r="O10" s="53">
        <f>+'water.demand.model'!O4</f>
        <v>0</v>
      </c>
      <c r="P10" s="53">
        <f>IF(O10=0,0,+'water.demand.model'!P4)</f>
        <v>0</v>
      </c>
      <c r="Q10" s="53">
        <f>+'water.demand.model'!Q4</f>
        <v>0</v>
      </c>
      <c r="R10" s="54">
        <f>+'water.demand.model'!R4</f>
        <v>0</v>
      </c>
    </row>
    <row r="11" spans="1:18" x14ac:dyDescent="0.3">
      <c r="A11" s="50">
        <v>4</v>
      </c>
      <c r="B11" s="51">
        <f>+'water.demand.model'!B5</f>
        <v>4.7007874015748037</v>
      </c>
      <c r="C11" s="51">
        <f>+'water.demand.model'!G5</f>
        <v>3.72</v>
      </c>
      <c r="D11" s="52">
        <f>+'water.demand.model'!C5</f>
        <v>0.32085714285714279</v>
      </c>
      <c r="E11" s="53">
        <f>+'water.demand.model'!F5</f>
        <v>1.5082812148481439</v>
      </c>
      <c r="F11" s="53">
        <f>IF(E11=0,0,+'water.demand.model'!H5)</f>
        <v>1.5120609446278837</v>
      </c>
      <c r="G11" s="53">
        <f>+'water.demand.model'!I5</f>
        <v>0</v>
      </c>
      <c r="H11" s="54">
        <f>+'water.demand.model'!J5</f>
        <v>0</v>
      </c>
      <c r="I11" s="52">
        <f>+'water.demand.model'!D5</f>
        <v>0</v>
      </c>
      <c r="J11" s="53">
        <f>+'water.demand.model'!K5</f>
        <v>0</v>
      </c>
      <c r="K11" s="53">
        <f>IF(J11=0,0,+'water.demand.model'!L5)</f>
        <v>0</v>
      </c>
      <c r="L11" s="53">
        <f>+'water.demand.model'!M5</f>
        <v>0</v>
      </c>
      <c r="M11" s="54">
        <f>+'water.demand.model'!N5</f>
        <v>0</v>
      </c>
      <c r="N11" s="52">
        <f>+'water.demand.model'!E5</f>
        <v>0</v>
      </c>
      <c r="O11" s="53">
        <f>+'water.demand.model'!O5</f>
        <v>0</v>
      </c>
      <c r="P11" s="53">
        <f>IF(O11=0,0,+'water.demand.model'!P5)</f>
        <v>0</v>
      </c>
      <c r="Q11" s="53">
        <f>+'water.demand.model'!Q5</f>
        <v>0</v>
      </c>
      <c r="R11" s="54">
        <f>+'water.demand.model'!R5</f>
        <v>0</v>
      </c>
    </row>
    <row r="12" spans="1:18" x14ac:dyDescent="0.3">
      <c r="A12" s="50">
        <v>5</v>
      </c>
      <c r="B12" s="51">
        <f>+'water.demand.model'!B6</f>
        <v>6.0169291338582678</v>
      </c>
      <c r="C12" s="51">
        <f>+'water.demand.model'!G6</f>
        <v>3.21</v>
      </c>
      <c r="D12" s="52">
        <f>+'water.demand.model'!C6</f>
        <v>0.90884792626728084</v>
      </c>
      <c r="E12" s="53">
        <f>+'water.demand.model'!F6</f>
        <v>5.4684735658042731</v>
      </c>
      <c r="F12" s="53">
        <f>IF(E12=0,0,+'water.demand.model'!H6)</f>
        <v>1.6579664390433042</v>
      </c>
      <c r="G12" s="53">
        <f>+'water.demand.model'!I6</f>
        <v>3.8105071267609691</v>
      </c>
      <c r="H12" s="54">
        <f>+'water.demand.model'!J6</f>
        <v>4.763133908451211</v>
      </c>
      <c r="I12" s="52">
        <f>+'water.demand.model'!D6</f>
        <v>0</v>
      </c>
      <c r="J12" s="53">
        <f>+'water.demand.model'!K6</f>
        <v>0</v>
      </c>
      <c r="K12" s="53">
        <f>IF(J12=0,0,+'water.demand.model'!L6)</f>
        <v>0</v>
      </c>
      <c r="L12" s="53">
        <f>+'water.demand.model'!M6</f>
        <v>0</v>
      </c>
      <c r="M12" s="54">
        <f>+'water.demand.model'!N6</f>
        <v>0</v>
      </c>
      <c r="N12" s="52">
        <f>+'water.demand.model'!E6</f>
        <v>0</v>
      </c>
      <c r="O12" s="53">
        <f>+'water.demand.model'!O6</f>
        <v>0</v>
      </c>
      <c r="P12" s="53">
        <f>IF(O12=0,0,+'water.demand.model'!P6)</f>
        <v>0</v>
      </c>
      <c r="Q12" s="53">
        <f>+'water.demand.model'!Q6</f>
        <v>0</v>
      </c>
      <c r="R12" s="54">
        <f>+'water.demand.model'!R6</f>
        <v>0</v>
      </c>
    </row>
    <row r="13" spans="1:18" x14ac:dyDescent="0.3">
      <c r="A13" s="50">
        <v>6</v>
      </c>
      <c r="B13" s="51">
        <f>+'water.demand.model'!B7</f>
        <v>6.6496062992125982</v>
      </c>
      <c r="C13" s="51">
        <f>+'water.demand.model'!G7</f>
        <v>4.1399999999999997</v>
      </c>
      <c r="D13" s="52">
        <f>+'water.demand.model'!C7</f>
        <v>1.2</v>
      </c>
      <c r="E13" s="53">
        <f>+'water.demand.model'!F7</f>
        <v>7.9795275590551178</v>
      </c>
      <c r="F13" s="53">
        <f>IF(E13=0,0,+'water.demand.model'!H7)</f>
        <v>2.3822399575544546</v>
      </c>
      <c r="G13" s="53">
        <f>+'water.demand.model'!I7</f>
        <v>5.5972876015006632</v>
      </c>
      <c r="H13" s="54">
        <f>+'water.demand.model'!J7</f>
        <v>6.9966095018758283</v>
      </c>
      <c r="I13" s="52">
        <f>+'water.demand.model'!D7</f>
        <v>0</v>
      </c>
      <c r="J13" s="53">
        <f>+'water.demand.model'!K7</f>
        <v>0</v>
      </c>
      <c r="K13" s="53">
        <f>IF(J13=0,0,+'water.demand.model'!L7)</f>
        <v>0</v>
      </c>
      <c r="L13" s="53">
        <f>+'water.demand.model'!M7</f>
        <v>0</v>
      </c>
      <c r="M13" s="54">
        <f>+'water.demand.model'!N7</f>
        <v>0</v>
      </c>
      <c r="N13" s="52">
        <f>+'water.demand.model'!E7</f>
        <v>0</v>
      </c>
      <c r="O13" s="53">
        <f>+'water.demand.model'!O7</f>
        <v>0</v>
      </c>
      <c r="P13" s="53">
        <f>IF(O13=0,0,+'water.demand.model'!P7)</f>
        <v>0</v>
      </c>
      <c r="Q13" s="53">
        <f>+'water.demand.model'!Q7</f>
        <v>0</v>
      </c>
      <c r="R13" s="54">
        <f>+'water.demand.model'!R7</f>
        <v>0</v>
      </c>
    </row>
    <row r="14" spans="1:18" x14ac:dyDescent="0.3">
      <c r="A14" s="50">
        <v>7</v>
      </c>
      <c r="B14" s="51">
        <f>+'water.demand.model'!B8</f>
        <v>6.9322834645669289</v>
      </c>
      <c r="C14" s="51">
        <f>+'water.demand.model'!G8</f>
        <v>4.0599999999999996</v>
      </c>
      <c r="D14" s="52">
        <f>+'water.demand.model'!C8</f>
        <v>0.99032258064516143</v>
      </c>
      <c r="E14" s="53">
        <f>+'water.demand.model'!F8</f>
        <v>6.8651968503937013</v>
      </c>
      <c r="F14" s="53">
        <f>IF(E14=0,0,+'water.demand.model'!H8)</f>
        <v>2.2008619225970842</v>
      </c>
      <c r="G14" s="53">
        <f>+'water.demand.model'!I8</f>
        <v>4.6643349277966166</v>
      </c>
      <c r="H14" s="54">
        <f>+'water.demand.model'!J8</f>
        <v>5.8304186597457708</v>
      </c>
      <c r="I14" s="52">
        <f>+'water.demand.model'!D8</f>
        <v>0</v>
      </c>
      <c r="J14" s="53">
        <f>+'water.demand.model'!K8</f>
        <v>0</v>
      </c>
      <c r="K14" s="53">
        <f>IF(J14=0,0,+'water.demand.model'!L8)</f>
        <v>0</v>
      </c>
      <c r="L14" s="53">
        <f>+'water.demand.model'!M8</f>
        <v>0</v>
      </c>
      <c r="M14" s="54">
        <f>+'water.demand.model'!N8</f>
        <v>0</v>
      </c>
      <c r="N14" s="52">
        <f>+'water.demand.model'!E8</f>
        <v>0</v>
      </c>
      <c r="O14" s="53">
        <f>+'water.demand.model'!O8</f>
        <v>0</v>
      </c>
      <c r="P14" s="53">
        <f>IF(O14=0,0,+'water.demand.model'!P8)</f>
        <v>0</v>
      </c>
      <c r="Q14" s="53">
        <f>+'water.demand.model'!Q8</f>
        <v>0</v>
      </c>
      <c r="R14" s="54">
        <f>+'water.demand.model'!R8</f>
        <v>0</v>
      </c>
    </row>
    <row r="15" spans="1:18" x14ac:dyDescent="0.3">
      <c r="A15" s="50">
        <v>8</v>
      </c>
      <c r="B15" s="51">
        <f>+'water.demand.model'!B9</f>
        <v>6.1755905511811022</v>
      </c>
      <c r="C15" s="51">
        <f>+'water.demand.model'!G9</f>
        <v>4.12</v>
      </c>
      <c r="D15" s="52">
        <f>+'water.demand.model'!C9</f>
        <v>0.1032258064516129</v>
      </c>
      <c r="E15" s="53">
        <f>+'water.demand.model'!F9</f>
        <v>0.63748031496062996</v>
      </c>
      <c r="F15" s="53">
        <f>IF(E15=0,0,+'water.demand.model'!H9)</f>
        <v>1.5741339563053163</v>
      </c>
      <c r="G15" s="53">
        <f>+'water.demand.model'!I9</f>
        <v>0</v>
      </c>
      <c r="H15" s="54">
        <f>+'water.demand.model'!J9</f>
        <v>0</v>
      </c>
      <c r="I15" s="52">
        <f>+'water.demand.model'!D9</f>
        <v>0</v>
      </c>
      <c r="J15" s="53">
        <f>+'water.demand.model'!K9</f>
        <v>0</v>
      </c>
      <c r="K15" s="53">
        <f>IF(J15=0,0,+'water.demand.model'!L9)</f>
        <v>0</v>
      </c>
      <c r="L15" s="53">
        <f>+'water.demand.model'!M9</f>
        <v>0</v>
      </c>
      <c r="M15" s="54">
        <f>+'water.demand.model'!N9</f>
        <v>0</v>
      </c>
      <c r="N15" s="52">
        <f>+'water.demand.model'!E9</f>
        <v>0</v>
      </c>
      <c r="O15" s="53">
        <f>+'water.demand.model'!O9</f>
        <v>0</v>
      </c>
      <c r="P15" s="53">
        <f>IF(O15=0,0,+'water.demand.model'!P9)</f>
        <v>0</v>
      </c>
      <c r="Q15" s="53">
        <f>+'water.demand.model'!Q9</f>
        <v>0</v>
      </c>
      <c r="R15" s="54">
        <f>+'water.demand.model'!R9</f>
        <v>0</v>
      </c>
    </row>
    <row r="16" spans="1:18" x14ac:dyDescent="0.3">
      <c r="A16" s="50">
        <v>9</v>
      </c>
      <c r="B16" s="51">
        <f>+'water.demand.model'!B10</f>
        <v>4.7125984251968509</v>
      </c>
      <c r="C16" s="51">
        <f>+'water.demand.model'!G10</f>
        <v>3.82</v>
      </c>
      <c r="D16" s="52">
        <f>+'water.demand.model'!C10</f>
        <v>0</v>
      </c>
      <c r="E16" s="53">
        <f>+'water.demand.model'!F10</f>
        <v>0</v>
      </c>
      <c r="F16" s="53">
        <f>IF(E16=0,0,+'water.demand.model'!H10)</f>
        <v>0</v>
      </c>
      <c r="G16" s="53">
        <f>+'water.demand.model'!I10</f>
        <v>0</v>
      </c>
      <c r="H16" s="54">
        <f>+'water.demand.model'!J10</f>
        <v>0</v>
      </c>
      <c r="I16" s="52">
        <f>+'water.demand.model'!D10</f>
        <v>0</v>
      </c>
      <c r="J16" s="53">
        <f>+'water.demand.model'!K10</f>
        <v>0</v>
      </c>
      <c r="K16" s="53">
        <f>IF(J16=0,0,+'water.demand.model'!L10)</f>
        <v>0</v>
      </c>
      <c r="L16" s="53">
        <f>+'water.demand.model'!M10</f>
        <v>0</v>
      </c>
      <c r="M16" s="54">
        <f>+'water.demand.model'!N10</f>
        <v>0</v>
      </c>
      <c r="N16" s="52">
        <f>+'water.demand.model'!E10</f>
        <v>0</v>
      </c>
      <c r="O16" s="53">
        <f>+'water.demand.model'!O10</f>
        <v>0</v>
      </c>
      <c r="P16" s="53">
        <f>IF(O16=0,0,+'water.demand.model'!P10)</f>
        <v>0</v>
      </c>
      <c r="Q16" s="53">
        <f>+'water.demand.model'!Q10</f>
        <v>0</v>
      </c>
      <c r="R16" s="54">
        <f>+'water.demand.model'!R10</f>
        <v>0</v>
      </c>
    </row>
    <row r="17" spans="1:18" x14ac:dyDescent="0.3">
      <c r="A17" s="50">
        <v>10</v>
      </c>
      <c r="B17" s="51">
        <f>+'water.demand.model'!B11</f>
        <v>3.4173228346456694</v>
      </c>
      <c r="C17" s="51">
        <f>+'water.demand.model'!G11</f>
        <v>3.23</v>
      </c>
      <c r="D17" s="52">
        <f>+'water.demand.model'!C11</f>
        <v>0</v>
      </c>
      <c r="E17" s="53">
        <f>+'water.demand.model'!F11</f>
        <v>0</v>
      </c>
      <c r="F17" s="53">
        <f>IF(E17=0,0,+'water.demand.model'!H11)</f>
        <v>0</v>
      </c>
      <c r="G17" s="53">
        <f>+'water.demand.model'!I11</f>
        <v>0</v>
      </c>
      <c r="H17" s="54">
        <f>+'water.demand.model'!J11</f>
        <v>0</v>
      </c>
      <c r="I17" s="52">
        <f>+'water.demand.model'!D11</f>
        <v>0</v>
      </c>
      <c r="J17" s="53">
        <f>+'water.demand.model'!K11</f>
        <v>0</v>
      </c>
      <c r="K17" s="53">
        <f>IF(J17=0,0,+'water.demand.model'!L11)</f>
        <v>0</v>
      </c>
      <c r="L17" s="53">
        <f>+'water.demand.model'!M11</f>
        <v>0</v>
      </c>
      <c r="M17" s="54">
        <f>+'water.demand.model'!N11</f>
        <v>0</v>
      </c>
      <c r="N17" s="52">
        <f>+'water.demand.model'!E11</f>
        <v>0</v>
      </c>
      <c r="O17" s="53">
        <f>+'water.demand.model'!O11</f>
        <v>0</v>
      </c>
      <c r="P17" s="53">
        <f>IF(O17=0,0,+'water.demand.model'!P11)</f>
        <v>0</v>
      </c>
      <c r="Q17" s="53">
        <f>+'water.demand.model'!Q11</f>
        <v>0</v>
      </c>
      <c r="R17" s="54">
        <f>+'water.demand.model'!R11</f>
        <v>0</v>
      </c>
    </row>
    <row r="18" spans="1:18" x14ac:dyDescent="0.3">
      <c r="A18" s="50">
        <v>11</v>
      </c>
      <c r="B18" s="51">
        <f>+'water.demand.model'!B12</f>
        <v>2.1141732283464569</v>
      </c>
      <c r="C18" s="51">
        <f>+'water.demand.model'!G12</f>
        <v>3.41</v>
      </c>
      <c r="D18" s="52">
        <f>+'water.demand.model'!C12</f>
        <v>0</v>
      </c>
      <c r="E18" s="53">
        <f>+'water.demand.model'!F12</f>
        <v>0</v>
      </c>
      <c r="F18" s="53">
        <f>IF(E18=0,0,+'water.demand.model'!H12)</f>
        <v>0</v>
      </c>
      <c r="G18" s="53">
        <f>+'water.demand.model'!I12</f>
        <v>0</v>
      </c>
      <c r="H18" s="54">
        <f>+'water.demand.model'!J12</f>
        <v>0</v>
      </c>
      <c r="I18" s="52">
        <f>+'water.demand.model'!D12</f>
        <v>0</v>
      </c>
      <c r="J18" s="53">
        <f>+'water.demand.model'!K12</f>
        <v>0</v>
      </c>
      <c r="K18" s="53">
        <f>IF(J18=0,0,+'water.demand.model'!L12)</f>
        <v>0</v>
      </c>
      <c r="L18" s="53">
        <f>+'water.demand.model'!M12</f>
        <v>0</v>
      </c>
      <c r="M18" s="54">
        <f>+'water.demand.model'!N12</f>
        <v>0</v>
      </c>
      <c r="N18" s="52">
        <f>+'water.demand.model'!E12</f>
        <v>0</v>
      </c>
      <c r="O18" s="53">
        <f>+'water.demand.model'!O12</f>
        <v>0</v>
      </c>
      <c r="P18" s="53">
        <f>IF(O18=0,0,+'water.demand.model'!P12)</f>
        <v>0</v>
      </c>
      <c r="Q18" s="53">
        <f>+'water.demand.model'!Q12</f>
        <v>0</v>
      </c>
      <c r="R18" s="54">
        <f>+'water.demand.model'!R12</f>
        <v>0</v>
      </c>
    </row>
    <row r="19" spans="1:18" x14ac:dyDescent="0.3">
      <c r="A19" s="50">
        <v>12</v>
      </c>
      <c r="B19" s="51">
        <f>+'water.demand.model'!B13</f>
        <v>1.4523622047244096</v>
      </c>
      <c r="C19" s="51">
        <f>+'water.demand.model'!G13</f>
        <v>3.28</v>
      </c>
      <c r="D19" s="52">
        <f>+'water.demand.model'!C13</f>
        <v>0</v>
      </c>
      <c r="E19" s="53">
        <f>+'water.demand.model'!F13</f>
        <v>0</v>
      </c>
      <c r="F19" s="53">
        <f>IF(E19=0,0,+'water.demand.model'!H13)</f>
        <v>0</v>
      </c>
      <c r="G19" s="53">
        <f>+'water.demand.model'!I13</f>
        <v>0</v>
      </c>
      <c r="H19" s="54">
        <f>+'water.demand.model'!J13</f>
        <v>0</v>
      </c>
      <c r="I19" s="52">
        <f>+'water.demand.model'!D13</f>
        <v>0</v>
      </c>
      <c r="J19" s="53">
        <f>+'water.demand.model'!K13</f>
        <v>0</v>
      </c>
      <c r="K19" s="53">
        <f>IF(J19=0,0,+'water.demand.model'!L13)</f>
        <v>0</v>
      </c>
      <c r="L19" s="53">
        <f>+'water.demand.model'!M13</f>
        <v>0</v>
      </c>
      <c r="M19" s="54">
        <f>+'water.demand.model'!N13</f>
        <v>0</v>
      </c>
      <c r="N19" s="52">
        <f>+'water.demand.model'!E13</f>
        <v>0</v>
      </c>
      <c r="O19" s="53">
        <f>+'water.demand.model'!O13</f>
        <v>0</v>
      </c>
      <c r="P19" s="53">
        <f>IF(O19=0,0,+'water.demand.model'!P13)</f>
        <v>0</v>
      </c>
      <c r="Q19" s="53">
        <f>+'water.demand.model'!Q13</f>
        <v>0</v>
      </c>
      <c r="R19" s="54">
        <f>+'water.demand.model'!R13</f>
        <v>0</v>
      </c>
    </row>
    <row r="20" spans="1:18" x14ac:dyDescent="0.3">
      <c r="A20" s="50"/>
      <c r="B20" s="50"/>
      <c r="C20" s="50"/>
      <c r="D20" s="55"/>
      <c r="E20" s="56"/>
      <c r="F20" s="56"/>
      <c r="G20" s="56"/>
      <c r="H20" s="57"/>
      <c r="I20" s="55"/>
      <c r="J20" s="56"/>
      <c r="K20" s="56"/>
      <c r="L20" s="56"/>
      <c r="M20" s="57"/>
      <c r="N20" s="55"/>
      <c r="O20" s="56"/>
      <c r="P20" s="56"/>
      <c r="Q20" s="56"/>
      <c r="R20" s="57"/>
    </row>
    <row r="21" spans="1:18" x14ac:dyDescent="0.3">
      <c r="A21" s="50" t="s">
        <v>901</v>
      </c>
      <c r="B21" s="51">
        <f>SUM(B8:B19)</f>
        <v>48.896062992125984</v>
      </c>
      <c r="C21" s="51">
        <f>SUM(C8:C19)</f>
        <v>44.33</v>
      </c>
      <c r="D21" s="55"/>
      <c r="E21" s="53">
        <f>SUM(E8:E19)</f>
        <v>22.458959505061866</v>
      </c>
      <c r="F21" s="53">
        <f>SUM(F8:F19)</f>
        <v>9.3272632201280423</v>
      </c>
      <c r="G21" s="53">
        <f t="shared" ref="G21:H21" si="0">SUM(G8:G19)</f>
        <v>14.072129656058248</v>
      </c>
      <c r="H21" s="54">
        <f t="shared" si="0"/>
        <v>17.590162070072811</v>
      </c>
      <c r="I21" s="55"/>
      <c r="J21" s="53">
        <f>SUM(J8:J19)</f>
        <v>0</v>
      </c>
      <c r="K21" s="53">
        <f>SUM(K8:K19)</f>
        <v>0</v>
      </c>
      <c r="L21" s="53">
        <f t="shared" ref="L21:M21" si="1">SUM(L8:L19)</f>
        <v>0</v>
      </c>
      <c r="M21" s="54">
        <f t="shared" si="1"/>
        <v>0</v>
      </c>
      <c r="N21" s="55"/>
      <c r="O21" s="53">
        <f>SUM(O8:O19)</f>
        <v>0</v>
      </c>
      <c r="P21" s="53">
        <f>SUM(P8:P19)</f>
        <v>0</v>
      </c>
      <c r="Q21" s="53">
        <f t="shared" ref="Q21:R21" si="2">SUM(Q8:Q19)</f>
        <v>0</v>
      </c>
      <c r="R21" s="54">
        <f t="shared" si="2"/>
        <v>0</v>
      </c>
    </row>
  </sheetData>
  <mergeCells count="3">
    <mergeCell ref="I6:M6"/>
    <mergeCell ref="N6:R6"/>
    <mergeCell ref="D6:H6"/>
  </mergeCells>
  <pageMargins left="0.7" right="0.7" top="0.75" bottom="0.75" header="0.3" footer="0.3"/>
  <pageSetup scale="72" orientation="landscape" horizontalDpi="300" verticalDpi="300" r:id="rId1"/>
  <drawing r:id="rId2"/>
  <legacyDrawing r:id="rId3"/>
  <controls>
    <mc:AlternateContent xmlns:mc="http://schemas.openxmlformats.org/markup-compatibility/2006">
      <mc:Choice Requires="x14">
        <control shapeId="73729" r:id="rId4" name="CommandButton1">
          <controlPr defaultSize="0" autoLine="0" r:id="rId5">
            <anchor moveWithCells="1">
              <from>
                <xdr:col>0</xdr:col>
                <xdr:colOff>68580</xdr:colOff>
                <xdr:row>0</xdr:row>
                <xdr:rowOff>45720</xdr:rowOff>
              </from>
              <to>
                <xdr:col>1</xdr:col>
                <xdr:colOff>175260</xdr:colOff>
                <xdr:row>2</xdr:row>
                <xdr:rowOff>76200</xdr:rowOff>
              </to>
            </anchor>
          </controlPr>
        </control>
      </mc:Choice>
      <mc:Fallback>
        <control shapeId="73729" r:id="rId4"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101</vt:i4>
      </vt:variant>
    </vt:vector>
  </HeadingPairs>
  <TitlesOfParts>
    <vt:vector size="123" baseType="lpstr">
      <vt:lpstr>Main.Page</vt:lpstr>
      <vt:lpstr>Crop.Inut</vt:lpstr>
      <vt:lpstr>Livestock.input</vt:lpstr>
      <vt:lpstr>Watershed.input</vt:lpstr>
      <vt:lpstr>Summary.Sheet</vt:lpstr>
      <vt:lpstr>WSCalcs</vt:lpstr>
      <vt:lpstr>PondSizeCalcs</vt:lpstr>
      <vt:lpstr>AgWRAP_RESULTS</vt:lpstr>
      <vt:lpstr>summary2</vt:lpstr>
      <vt:lpstr>variables</vt:lpstr>
      <vt:lpstr>ppt.county</vt:lpstr>
      <vt:lpstr>ppt.events.5</vt:lpstr>
      <vt:lpstr>ET.county</vt:lpstr>
      <vt:lpstr>ET.region</vt:lpstr>
      <vt:lpstr>input.form.data</vt:lpstr>
      <vt:lpstr>kcs</vt:lpstr>
      <vt:lpstr>water.demand.model</vt:lpstr>
      <vt:lpstr>Sheet4</vt:lpstr>
      <vt:lpstr>runoff.model</vt:lpstr>
      <vt:lpstr>Plot</vt:lpstr>
      <vt:lpstr>inverse.design</vt:lpstr>
      <vt:lpstr>version.notes</vt:lpstr>
      <vt:lpstr>Acres1</vt:lpstr>
      <vt:lpstr>Acres2</vt:lpstr>
      <vt:lpstr>Acres3</vt:lpstr>
      <vt:lpstr>county</vt:lpstr>
      <vt:lpstr>cover1</vt:lpstr>
      <vt:lpstr>cover2</vt:lpstr>
      <vt:lpstr>cover3</vt:lpstr>
      <vt:lpstr>covertype1</vt:lpstr>
      <vt:lpstr>covertype2</vt:lpstr>
      <vt:lpstr>covertype3</vt:lpstr>
      <vt:lpstr>CP.eff</vt:lpstr>
      <vt:lpstr>CPeff</vt:lpstr>
      <vt:lpstr>Crop1</vt:lpstr>
      <vt:lpstr>Crop2</vt:lpstr>
      <vt:lpstr>Crop3</vt:lpstr>
      <vt:lpstr>DoubleCrop1</vt:lpstr>
      <vt:lpstr>DoubleCrop2</vt:lpstr>
      <vt:lpstr>drip.eff</vt:lpstr>
      <vt:lpstr>eff.1</vt:lpstr>
      <vt:lpstr>eff.2</vt:lpstr>
      <vt:lpstr>eff.3</vt:lpstr>
      <vt:lpstr>eff.ppt.crop1</vt:lpstr>
      <vt:lpstr>eff.ppt.crop2</vt:lpstr>
      <vt:lpstr>eff.ppt.crop3</vt:lpstr>
      <vt:lpstr>etc.crop1</vt:lpstr>
      <vt:lpstr>etc.crop2</vt:lpstr>
      <vt:lpstr>etc.crop3</vt:lpstr>
      <vt:lpstr>etccrop1</vt:lpstr>
      <vt:lpstr>Events</vt:lpstr>
      <vt:lpstr>GIR.crop.1</vt:lpstr>
      <vt:lpstr>GIR.crop.2</vt:lpstr>
      <vt:lpstr>GIR.crop.3</vt:lpstr>
      <vt:lpstr>hydsg1</vt:lpstr>
      <vt:lpstr>hydsg2</vt:lpstr>
      <vt:lpstr>hydsg3</vt:lpstr>
      <vt:lpstr>irr.sys.1</vt:lpstr>
      <vt:lpstr>irr.sys.2</vt:lpstr>
      <vt:lpstr>irr.sys.3</vt:lpstr>
      <vt:lpstr>irr.sys2</vt:lpstr>
      <vt:lpstr>jdplant1</vt:lpstr>
      <vt:lpstr>jdplant2</vt:lpstr>
      <vt:lpstr>jdplant3</vt:lpstr>
      <vt:lpstr>kc.crop.1</vt:lpstr>
      <vt:lpstr>kc.crop.2</vt:lpstr>
      <vt:lpstr>kc.crop.3</vt:lpstr>
      <vt:lpstr>kc.ini.1</vt:lpstr>
      <vt:lpstr>kc.ini.2</vt:lpstr>
      <vt:lpstr>kc.ini.3</vt:lpstr>
      <vt:lpstr>kc.late.1</vt:lpstr>
      <vt:lpstr>kc.late.2</vt:lpstr>
      <vt:lpstr>kc.late.3</vt:lpstr>
      <vt:lpstr>kc.mid.1</vt:lpstr>
      <vt:lpstr>kc.mid.2</vt:lpstr>
      <vt:lpstr>kc.mid.3</vt:lpstr>
      <vt:lpstr>kcjd</vt:lpstr>
      <vt:lpstr>latlongrunoff</vt:lpstr>
      <vt:lpstr>latrunoff</vt:lpstr>
      <vt:lpstr>livestock.gall</vt:lpstr>
      <vt:lpstr>livestock.list</vt:lpstr>
      <vt:lpstr>Livestock.total</vt:lpstr>
      <vt:lpstr>Livestock1</vt:lpstr>
      <vt:lpstr>Livestock2</vt:lpstr>
      <vt:lpstr>Livestock3</vt:lpstr>
      <vt:lpstr>Livestock4</vt:lpstr>
      <vt:lpstr>Livetype1</vt:lpstr>
      <vt:lpstr>Livetype2</vt:lpstr>
      <vt:lpstr>Livetype3</vt:lpstr>
      <vt:lpstr>Livetype4</vt:lpstr>
      <vt:lpstr>longrunoff</vt:lpstr>
      <vt:lpstr>MWPS.livestock.list</vt:lpstr>
      <vt:lpstr>opmode</vt:lpstr>
      <vt:lpstr>P</vt:lpstr>
      <vt:lpstr>Pevent</vt:lpstr>
      <vt:lpstr>Plant1</vt:lpstr>
      <vt:lpstr>Plant2</vt:lpstr>
      <vt:lpstr>Plant3</vt:lpstr>
      <vt:lpstr>pondcapacity</vt:lpstr>
      <vt:lpstr>ppt</vt:lpstr>
      <vt:lpstr>pptstalat</vt:lpstr>
      <vt:lpstr>pptstalong</vt:lpstr>
      <vt:lpstr>ppt.county!Print_Area</vt:lpstr>
      <vt:lpstr>ref.et</vt:lpstr>
      <vt:lpstr>S</vt:lpstr>
      <vt:lpstr>SF</vt:lpstr>
      <vt:lpstr>simplemethod</vt:lpstr>
      <vt:lpstr>SS.eff</vt:lpstr>
      <vt:lpstr>TG.eff</vt:lpstr>
      <vt:lpstr>tot.demand</vt:lpstr>
      <vt:lpstr>tot.op.deficit</vt:lpstr>
      <vt:lpstr>tot.op.spill</vt:lpstr>
      <vt:lpstr>tot.runoff</vt:lpstr>
      <vt:lpstr>total.acres</vt:lpstr>
      <vt:lpstr>watarea1</vt:lpstr>
      <vt:lpstr>watarea2</vt:lpstr>
      <vt:lpstr>watarea3</vt:lpstr>
      <vt:lpstr>watdemandmodel</vt:lpstr>
      <vt:lpstr>WatSize</vt:lpstr>
      <vt:lpstr>WatSoil</vt:lpstr>
      <vt:lpstr>wattotarea</vt:lpstr>
      <vt:lpstr>wgtd.GIR</vt:lpstr>
      <vt:lpstr>wtgdcn</vt:lpstr>
    </vt:vector>
  </TitlesOfParts>
  <Company>NC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Agwrap water demand</dc:title>
  <dc:creator>glgrabow</dc:creator>
  <cp:lastModifiedBy>Michael Shepherd</cp:lastModifiedBy>
  <cp:lastPrinted>2018-08-31T15:05:42Z</cp:lastPrinted>
  <dcterms:created xsi:type="dcterms:W3CDTF">2012-04-29T21:30:40Z</dcterms:created>
  <dcterms:modified xsi:type="dcterms:W3CDTF">2022-09-16T15:06:06Z</dcterms:modified>
</cp:coreProperties>
</file>